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RoyA.BECK\SynologyDrive\Users Shared Folders\PROJECTS\1951 North Coast Resource Partnerhip - Biomass RTLs\"/>
    </mc:Choice>
  </mc:AlternateContent>
  <xr:revisionPtr revIDLastSave="0" documentId="8_{2C63BD4B-DE94-4674-BC5E-3611F4EF0BCF}" xr6:coauthVersionLast="47" xr6:coauthVersionMax="47" xr10:uidLastSave="{00000000-0000-0000-0000-000000000000}"/>
  <bookViews>
    <workbookView xWindow="-28920" yWindow="-990" windowWidth="29040" windowHeight="15720" activeTab="1" xr2:uid="{8994AB3A-5AA1-4769-B61B-3EDD6DF8ABBB}"/>
  </bookViews>
  <sheets>
    <sheet name="Summary" sheetId="2" r:id="rId1"/>
    <sheet name="Detail for each Technology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2" l="1"/>
  <c r="B24" i="2"/>
  <c r="R35" i="1" l="1"/>
  <c r="R30" i="1"/>
  <c r="R28" i="1"/>
  <c r="R29" i="1" s="1"/>
  <c r="R16" i="1"/>
  <c r="E9" i="2"/>
  <c r="F7" i="1"/>
  <c r="F9" i="1" s="1"/>
  <c r="E7" i="2" s="1"/>
  <c r="D7" i="1"/>
  <c r="D9" i="1" s="1"/>
  <c r="D13" i="1" s="1"/>
  <c r="D19" i="1" s="1"/>
  <c r="D12" i="2" s="1"/>
  <c r="V7" i="1"/>
  <c r="M6" i="2" s="1"/>
  <c r="T7" i="1"/>
  <c r="L6" i="2" s="1"/>
  <c r="K13" i="2"/>
  <c r="K9" i="2"/>
  <c r="K5" i="2"/>
  <c r="K36" i="2" s="1"/>
  <c r="K10" i="2"/>
  <c r="R9" i="1"/>
  <c r="K7" i="2" s="1"/>
  <c r="R7" i="1"/>
  <c r="K6" i="2" s="1"/>
  <c r="M10" i="2"/>
  <c r="M9" i="2"/>
  <c r="M5" i="2"/>
  <c r="M36" i="2" s="1"/>
  <c r="V35" i="1"/>
  <c r="V37" i="1" s="1"/>
  <c r="M13" i="2" s="1"/>
  <c r="V29" i="1"/>
  <c r="V25" i="1"/>
  <c r="V26" i="1" s="1"/>
  <c r="V9" i="1"/>
  <c r="M7" i="2" s="1"/>
  <c r="L10" i="2"/>
  <c r="L9" i="2"/>
  <c r="L5" i="2"/>
  <c r="L36" i="2" s="1"/>
  <c r="T35" i="1"/>
  <c r="T37" i="1" s="1"/>
  <c r="L13" i="2" s="1"/>
  <c r="T29" i="1"/>
  <c r="T25" i="1"/>
  <c r="T26" i="1" s="1"/>
  <c r="N36" i="1"/>
  <c r="N32" i="1"/>
  <c r="P32" i="1"/>
  <c r="J5" i="2"/>
  <c r="J36" i="2" s="1"/>
  <c r="J9" i="2"/>
  <c r="J10" i="2"/>
  <c r="P35" i="1"/>
  <c r="P29" i="1"/>
  <c r="P25" i="1"/>
  <c r="P26" i="1" s="1"/>
  <c r="P9" i="1"/>
  <c r="P15" i="1" s="1"/>
  <c r="P7" i="1"/>
  <c r="J6" i="2" s="1"/>
  <c r="I5" i="2"/>
  <c r="I36" i="2" s="1"/>
  <c r="I9" i="2"/>
  <c r="I10" i="2"/>
  <c r="N35" i="1"/>
  <c r="N29" i="1"/>
  <c r="N25" i="1"/>
  <c r="N26" i="1" s="1"/>
  <c r="N9" i="1"/>
  <c r="N13" i="1" s="1"/>
  <c r="N7" i="1"/>
  <c r="I6" i="2" s="1"/>
  <c r="H5" i="2"/>
  <c r="H36" i="2" s="1"/>
  <c r="H9" i="2"/>
  <c r="H10" i="2"/>
  <c r="L35" i="1"/>
  <c r="L37" i="1" s="1"/>
  <c r="H13" i="2" s="1"/>
  <c r="L29" i="1"/>
  <c r="L25" i="1"/>
  <c r="L26" i="1" s="1"/>
  <c r="L9" i="1"/>
  <c r="L15" i="1" s="1"/>
  <c r="L7" i="1"/>
  <c r="H6" i="2" s="1"/>
  <c r="J7" i="1"/>
  <c r="J9" i="1" s="1"/>
  <c r="G7" i="2" s="1"/>
  <c r="H7" i="1"/>
  <c r="H9" i="1" s="1"/>
  <c r="H13" i="1" s="1"/>
  <c r="H19" i="1" s="1"/>
  <c r="F12" i="2" s="1"/>
  <c r="G5" i="2"/>
  <c r="G36" i="2" s="1"/>
  <c r="G9" i="2"/>
  <c r="G10" i="2"/>
  <c r="J35" i="1"/>
  <c r="J37" i="1" s="1"/>
  <c r="J29" i="1"/>
  <c r="J25" i="1"/>
  <c r="J26" i="1" s="1"/>
  <c r="F5" i="2"/>
  <c r="F36" i="2" s="1"/>
  <c r="F9" i="2"/>
  <c r="F10" i="2"/>
  <c r="H37" i="1"/>
  <c r="H39" i="1" s="1"/>
  <c r="H29" i="1"/>
  <c r="H25" i="1"/>
  <c r="H26" i="1" s="1"/>
  <c r="E5" i="2"/>
  <c r="E36" i="2" s="1"/>
  <c r="E10" i="2"/>
  <c r="F29" i="1"/>
  <c r="F35" i="1"/>
  <c r="F25" i="1"/>
  <c r="F26" i="1" s="1"/>
  <c r="D29" i="1"/>
  <c r="D10" i="2"/>
  <c r="D9" i="2"/>
  <c r="D5" i="2"/>
  <c r="D35" i="1"/>
  <c r="D37" i="1" s="1"/>
  <c r="D13" i="2" s="1"/>
  <c r="D25" i="1"/>
  <c r="D26" i="1" s="1"/>
  <c r="D18" i="2" l="1"/>
  <c r="D14" i="2"/>
  <c r="D17" i="2"/>
  <c r="D19" i="2" s="1"/>
  <c r="D36" i="2"/>
  <c r="R18" i="1"/>
  <c r="R13" i="1"/>
  <c r="M18" i="2"/>
  <c r="M11" i="2"/>
  <c r="M15" i="2" s="1"/>
  <c r="R25" i="1"/>
  <c r="R26" i="1" s="1"/>
  <c r="N15" i="1"/>
  <c r="N19" i="1" s="1"/>
  <c r="P37" i="1"/>
  <c r="J13" i="2" s="1"/>
  <c r="J18" i="2" s="1"/>
  <c r="J11" i="2"/>
  <c r="J15" i="2" s="1"/>
  <c r="L18" i="2"/>
  <c r="J7" i="2"/>
  <c r="E6" i="2"/>
  <c r="T14" i="1"/>
  <c r="T15" i="1" s="1"/>
  <c r="I11" i="2"/>
  <c r="I15" i="2" s="1"/>
  <c r="F11" i="2"/>
  <c r="F15" i="2" s="1"/>
  <c r="F6" i="2"/>
  <c r="G6" i="2"/>
  <c r="H7" i="2"/>
  <c r="H18" i="2"/>
  <c r="H11" i="2"/>
  <c r="H25" i="2" s="1"/>
  <c r="I7" i="2"/>
  <c r="P13" i="1"/>
  <c r="P19" i="1" s="1"/>
  <c r="T9" i="1"/>
  <c r="T13" i="1" s="1"/>
  <c r="L11" i="2"/>
  <c r="L15" i="2" s="1"/>
  <c r="V39" i="1"/>
  <c r="D6" i="2"/>
  <c r="V13" i="1"/>
  <c r="V19" i="1" s="1"/>
  <c r="K18" i="2"/>
  <c r="R39" i="1"/>
  <c r="V38" i="1"/>
  <c r="V40" i="1" s="1"/>
  <c r="T39" i="1"/>
  <c r="T38" i="1"/>
  <c r="T40" i="1" s="1"/>
  <c r="N37" i="1"/>
  <c r="I13" i="2" s="1"/>
  <c r="L38" i="1"/>
  <c r="L40" i="1" s="1"/>
  <c r="L39" i="1"/>
  <c r="J39" i="1"/>
  <c r="G13" i="2"/>
  <c r="G18" i="2" s="1"/>
  <c r="G11" i="2"/>
  <c r="L13" i="1"/>
  <c r="L20" i="1" s="1"/>
  <c r="F13" i="2"/>
  <c r="F14" i="2" s="1"/>
  <c r="J13" i="1"/>
  <c r="J19" i="1" s="1"/>
  <c r="G12" i="2" s="1"/>
  <c r="G14" i="2" s="1"/>
  <c r="F7" i="2"/>
  <c r="F17" i="2"/>
  <c r="H20" i="1"/>
  <c r="J38" i="1"/>
  <c r="J40" i="1" s="1"/>
  <c r="H38" i="1"/>
  <c r="H40" i="1" s="1"/>
  <c r="D39" i="1"/>
  <c r="D38" i="1"/>
  <c r="D40" i="1" s="1"/>
  <c r="E11" i="2"/>
  <c r="F37" i="1"/>
  <c r="D20" i="1"/>
  <c r="D11" i="2"/>
  <c r="F13" i="1"/>
  <c r="F19" i="1" s="1"/>
  <c r="E12" i="2" s="1"/>
  <c r="D7" i="2"/>
  <c r="R19" i="1" l="1"/>
  <c r="R20" i="1" s="1"/>
  <c r="R38" i="1"/>
  <c r="R40" i="1" s="1"/>
  <c r="K11" i="2"/>
  <c r="K15" i="2" s="1"/>
  <c r="M25" i="2"/>
  <c r="P39" i="1"/>
  <c r="P38" i="1"/>
  <c r="P40" i="1" s="1"/>
  <c r="L25" i="2"/>
  <c r="F25" i="2"/>
  <c r="T19" i="1"/>
  <c r="T20" i="1" s="1"/>
  <c r="I25" i="2"/>
  <c r="F16" i="2"/>
  <c r="J25" i="2"/>
  <c r="L7" i="2"/>
  <c r="H15" i="2"/>
  <c r="L19" i="1"/>
  <c r="H12" i="2" s="1"/>
  <c r="H14" i="2" s="1"/>
  <c r="I12" i="2"/>
  <c r="N20" i="1"/>
  <c r="J12" i="2"/>
  <c r="P20" i="1"/>
  <c r="M12" i="2"/>
  <c r="M14" i="2" s="1"/>
  <c r="V20" i="1"/>
  <c r="I18" i="2"/>
  <c r="N38" i="1"/>
  <c r="N40" i="1" s="1"/>
  <c r="N39" i="1"/>
  <c r="F18" i="2"/>
  <c r="F19" i="2" s="1"/>
  <c r="F24" i="2" s="1"/>
  <c r="G15" i="2"/>
  <c r="G25" i="2"/>
  <c r="J20" i="1"/>
  <c r="E15" i="2"/>
  <c r="E25" i="2"/>
  <c r="D26" i="2"/>
  <c r="D29" i="2" s="1"/>
  <c r="F20" i="1"/>
  <c r="F39" i="1"/>
  <c r="E13" i="2"/>
  <c r="E18" i="2" s="1"/>
  <c r="F38" i="1"/>
  <c r="F40" i="1" s="1"/>
  <c r="D25" i="2"/>
  <c r="D15" i="2"/>
  <c r="I17" i="2" l="1"/>
  <c r="I14" i="2"/>
  <c r="E14" i="2"/>
  <c r="E16" i="2" s="1"/>
  <c r="J17" i="2"/>
  <c r="J19" i="2" s="1"/>
  <c r="J14" i="2"/>
  <c r="J16" i="2" s="1"/>
  <c r="J22" i="2"/>
  <c r="J24" i="2"/>
  <c r="D22" i="2"/>
  <c r="D24" i="2"/>
  <c r="K12" i="2"/>
  <c r="L12" i="2"/>
  <c r="K25" i="2"/>
  <c r="M17" i="2"/>
  <c r="M16" i="2"/>
  <c r="F26" i="2"/>
  <c r="H17" i="2"/>
  <c r="H16" i="2"/>
  <c r="I16" i="2"/>
  <c r="J26" i="2"/>
  <c r="J29" i="2" s="1"/>
  <c r="I19" i="2"/>
  <c r="I26" i="2"/>
  <c r="I29" i="2" s="1"/>
  <c r="G17" i="2"/>
  <c r="G16" i="2"/>
  <c r="D16" i="2"/>
  <c r="E17" i="2"/>
  <c r="L17" i="2" l="1"/>
  <c r="L19" i="2" s="1"/>
  <c r="L14" i="2"/>
  <c r="L16" i="2" s="1"/>
  <c r="K17" i="2"/>
  <c r="K19" i="2" s="1"/>
  <c r="K14" i="2"/>
  <c r="L22" i="2"/>
  <c r="L24" i="2"/>
  <c r="K22" i="2"/>
  <c r="K24" i="2"/>
  <c r="I22" i="2"/>
  <c r="I24" i="2"/>
  <c r="K26" i="2"/>
  <c r="K29" i="2" s="1"/>
  <c r="K16" i="2"/>
  <c r="L26" i="2"/>
  <c r="L29" i="2" s="1"/>
  <c r="M26" i="2"/>
  <c r="M19" i="2"/>
  <c r="M24" i="2" s="1"/>
  <c r="H19" i="2"/>
  <c r="H26" i="2"/>
  <c r="H29" i="2" s="1"/>
  <c r="G19" i="2"/>
  <c r="G24" i="2" s="1"/>
  <c r="G26" i="2"/>
  <c r="E19" i="2"/>
  <c r="E26" i="2"/>
  <c r="E29" i="2" s="1"/>
  <c r="E22" i="2" l="1"/>
  <c r="E24" i="2"/>
  <c r="H22" i="2"/>
  <c r="H2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Roy Anderson</author>
  </authors>
  <commentList>
    <comment ref="L14" authorId="0" shapeId="0" xr:uid="{5B389082-E2DD-4DE8-8924-20947D73BE82}">
      <text>
        <r>
          <rPr>
            <b/>
            <sz val="9"/>
            <color indexed="81"/>
            <rFont val="Tahoma"/>
            <family val="2"/>
          </rPr>
          <t>Roy Anderson:</t>
        </r>
        <r>
          <rPr>
            <sz val="9"/>
            <color indexed="81"/>
            <rFont val="Tahoma"/>
            <family val="2"/>
          </rPr>
          <t xml:space="preserve">
This is from sale of by-products, but expressed on a $/MBM basis</t>
        </r>
      </text>
    </comment>
    <comment ref="N14" authorId="0" shapeId="0" xr:uid="{5870AD20-DA54-44E1-A7E4-D1522E7CAA7F}">
      <text>
        <r>
          <rPr>
            <b/>
            <sz val="9"/>
            <color indexed="81"/>
            <rFont val="Tahoma"/>
            <family val="2"/>
          </rPr>
          <t>Roy Anderson:</t>
        </r>
        <r>
          <rPr>
            <sz val="9"/>
            <color indexed="81"/>
            <rFont val="Tahoma"/>
            <family val="2"/>
          </rPr>
          <t xml:space="preserve">
This is from sale of by-products, but expressed on a $/MBM basis</t>
        </r>
      </text>
    </comment>
    <comment ref="P14" authorId="0" shapeId="0" xr:uid="{3D4B59D4-3FCF-4349-93BC-082ECF419105}">
      <text>
        <r>
          <rPr>
            <b/>
            <sz val="9"/>
            <color indexed="81"/>
            <rFont val="Tahoma"/>
            <family val="2"/>
          </rPr>
          <t>Roy Anderson:</t>
        </r>
        <r>
          <rPr>
            <sz val="9"/>
            <color indexed="81"/>
            <rFont val="Tahoma"/>
            <family val="2"/>
          </rPr>
          <t xml:space="preserve">
This is from sale of by-products, but expressed on a $/MBM basis</t>
        </r>
      </text>
    </comment>
    <comment ref="R17" authorId="0" shapeId="0" xr:uid="{21A7D3E6-EEB8-4237-B1C0-37AC2B55E44D}">
      <text>
        <r>
          <rPr>
            <b/>
            <sz val="9"/>
            <color indexed="81"/>
            <rFont val="Tahoma"/>
            <family val="2"/>
          </rPr>
          <t>Roy Anderson:</t>
        </r>
        <r>
          <rPr>
            <sz val="9"/>
            <color indexed="81"/>
            <rFont val="Tahoma"/>
            <family val="2"/>
          </rPr>
          <t xml:space="preserve">
This is from sale of by-products, but expressed on a $/MBM basis</t>
        </r>
      </text>
    </comment>
  </commentList>
</comments>
</file>

<file path=xl/sharedStrings.xml><?xml version="1.0" encoding="utf-8"?>
<sst xmlns="http://schemas.openxmlformats.org/spreadsheetml/2006/main" count="490" uniqueCount="149">
  <si>
    <t>Raw Material in</t>
  </si>
  <si>
    <t>Yield</t>
  </si>
  <si>
    <t>BDT/Year</t>
  </si>
  <si>
    <t>Wood Wool Cement</t>
  </si>
  <si>
    <t>Wood Wool for Packaging</t>
  </si>
  <si>
    <t>BioMAT Cogen</t>
  </si>
  <si>
    <t>Wood Fiber Growing Media</t>
  </si>
  <si>
    <t>Sawmill - Base Case</t>
  </si>
  <si>
    <t>Sawmill + Treating</t>
  </si>
  <si>
    <t>Sawmill + TMT Decking</t>
  </si>
  <si>
    <t>Sawmill + Pallets</t>
  </si>
  <si>
    <t>Post &amp; Pole</t>
  </si>
  <si>
    <t>Fuel Briquettes</t>
  </si>
  <si>
    <t>Finished Product Out</t>
  </si>
  <si>
    <t>BDT</t>
  </si>
  <si>
    <t>Finished Product Out (wood fiber)</t>
  </si>
  <si>
    <t>Finished Product Out (native units)</t>
  </si>
  <si>
    <t>CF/BDT</t>
  </si>
  <si>
    <t>Sales Realization</t>
  </si>
  <si>
    <t>$/CF</t>
  </si>
  <si>
    <t>$/Year</t>
  </si>
  <si>
    <t>BDT/year</t>
  </si>
  <si>
    <t>Percent</t>
  </si>
  <si>
    <t>Staffing (hourly)</t>
  </si>
  <si>
    <t>Staffing (salaried)</t>
  </si>
  <si>
    <t>Annual Cost</t>
  </si>
  <si>
    <t>$/BDT</t>
  </si>
  <si>
    <t>Capital Cost</t>
  </si>
  <si>
    <t>Dollars</t>
  </si>
  <si>
    <t>Depreciation Schedule</t>
  </si>
  <si>
    <t>Years</t>
  </si>
  <si>
    <t>Depreciation Cost/Year</t>
  </si>
  <si>
    <t xml:space="preserve">Depreciation </t>
  </si>
  <si>
    <t>Total</t>
  </si>
  <si>
    <t>Power</t>
  </si>
  <si>
    <t>MWH/Year</t>
  </si>
  <si>
    <t>$/MWH</t>
  </si>
  <si>
    <t>All Other Costs</t>
  </si>
  <si>
    <t>Total Annual Cost</t>
  </si>
  <si>
    <t>W/O Depreciation</t>
  </si>
  <si>
    <t>W/Depreciation</t>
  </si>
  <si>
    <t>EBITDA Cost</t>
  </si>
  <si>
    <t>EBIT Cost</t>
  </si>
  <si>
    <t>$/BDT w/depreciation</t>
  </si>
  <si>
    <t>Metric</t>
  </si>
  <si>
    <t>Units of Measurement</t>
  </si>
  <si>
    <t>Raw Material In</t>
  </si>
  <si>
    <t>Bone dry tons/year</t>
  </si>
  <si>
    <t>Native Units/year</t>
  </si>
  <si>
    <t>Depreciation Cost</t>
  </si>
  <si>
    <t>Dollars/Year (15 year straight line)</t>
  </si>
  <si>
    <t>Revenue</t>
  </si>
  <si>
    <t>Dollars/Year</t>
  </si>
  <si>
    <t>less Manufacturing Cost</t>
  </si>
  <si>
    <t xml:space="preserve">  = EBITDA</t>
  </si>
  <si>
    <t xml:space="preserve">     less Depreciation</t>
  </si>
  <si>
    <t xml:space="preserve">  = EBIT</t>
  </si>
  <si>
    <t>Dollars/BDT</t>
  </si>
  <si>
    <t>Finished Product Native Units</t>
  </si>
  <si>
    <t>Cubic feet</t>
  </si>
  <si>
    <t>MWH</t>
  </si>
  <si>
    <t>Cubic Yards</t>
  </si>
  <si>
    <t>"Green Tons"</t>
  </si>
  <si>
    <t>Key Assumptions</t>
  </si>
  <si>
    <t>Siting</t>
  </si>
  <si>
    <t>Stand alone</t>
  </si>
  <si>
    <t>Raw Material Type</t>
  </si>
  <si>
    <t>Small diameter roundwood</t>
  </si>
  <si>
    <t>Hogged/Ground fuel</t>
  </si>
  <si>
    <t>Chips</t>
  </si>
  <si>
    <t>Sawlogs</t>
  </si>
  <si>
    <t>Chips &amp; Shavings</t>
  </si>
  <si>
    <t>Approximate Truckloads/Year of raw material</t>
  </si>
  <si>
    <t>Concept/Scale</t>
  </si>
  <si>
    <t>Product Mix/Sales Value</t>
  </si>
  <si>
    <t>No published sales prices. Sales realization of $5.66/ft3 is likely conservative as it is very low on a $/FT3 basis compared to other structural supports for vertical and horizontal loads. Market will take time to develop.</t>
  </si>
  <si>
    <t>No published sales prices. So sales realization is an estimate.</t>
  </si>
  <si>
    <t xml:space="preserve"> Mix of timbers, dimension and small timbers. Sales realizations based on November 2024 Random Lengths plus $75 adder for treated material (net of trucking cost).</t>
  </si>
  <si>
    <t>No published sales values for thermally modified wood, so used price of product it would substitute - cedar decking.</t>
  </si>
  <si>
    <t>This business is an adder to the sawmill. Preliminary indication is that there are few pallet manufacturers in Nor Cal.</t>
  </si>
  <si>
    <t>No published prices, so backed into F.O.B. price from retail values. Would likely take time for market to develop to match full scale of sawmill output.</t>
  </si>
  <si>
    <t>Proven Technology/Market</t>
  </si>
  <si>
    <t>`</t>
  </si>
  <si>
    <t>$/BDT w/o depr.</t>
  </si>
  <si>
    <t>$/Bone Dry pound</t>
  </si>
  <si>
    <t>Shifts</t>
  </si>
  <si>
    <t>Shifts/day</t>
  </si>
  <si>
    <t>per shift</t>
  </si>
  <si>
    <t>Total hourly</t>
  </si>
  <si>
    <t>BDT/Net MWH sold</t>
  </si>
  <si>
    <t>Steam sales</t>
  </si>
  <si>
    <t>Total Sales Realization</t>
  </si>
  <si>
    <t>CY/BDT</t>
  </si>
  <si>
    <t>$/CY</t>
  </si>
  <si>
    <t>MBM/BDT</t>
  </si>
  <si>
    <t>MBM/Year</t>
  </si>
  <si>
    <t>CY/Year</t>
  </si>
  <si>
    <t>$/MBM</t>
  </si>
  <si>
    <t>$/Year for Lumber</t>
  </si>
  <si>
    <t>$/Year for byproducts</t>
  </si>
  <si>
    <t>Total $/Year</t>
  </si>
  <si>
    <t>BDT out/BDT in</t>
  </si>
  <si>
    <t>BDT/Year by product</t>
  </si>
  <si>
    <t>"GT" sold/Year</t>
  </si>
  <si>
    <t>Raw Material out as Finished Product</t>
  </si>
  <si>
    <t>Green Tons</t>
  </si>
  <si>
    <t>Percent Downfall</t>
  </si>
  <si>
    <t>Recovery</t>
  </si>
  <si>
    <t>Recovery (Native units)</t>
  </si>
  <si>
    <t>"GT" sold/BDT in</t>
  </si>
  <si>
    <t>Cubic Feet/Year</t>
  </si>
  <si>
    <t>REVENUES</t>
  </si>
  <si>
    <t>COSTS</t>
  </si>
  <si>
    <t>minus Manufacturing Cost</t>
  </si>
  <si>
    <t xml:space="preserve">  minus Depreciation</t>
  </si>
  <si>
    <t>This business is listed as stand alone, but could also be an adder to the sawmill. Merchandising line would optimize logs between sawmill and P&amp;P line.</t>
  </si>
  <si>
    <t>Pallets/Year</t>
  </si>
  <si>
    <t>Net $/Pallet</t>
  </si>
  <si>
    <t>Total $/Year Pallets</t>
  </si>
  <si>
    <t>As noted in each column to the right</t>
  </si>
  <si>
    <t>Assumes siting @ at base case sawmill</t>
  </si>
  <si>
    <t>VOLUME RELATED METRICS</t>
  </si>
  <si>
    <t>Sells fire logs as a replacement for firewood. Note the "green tons" refers to the fiber containing an estimated 7% moisture when it is sold.</t>
  </si>
  <si>
    <t>Produces mix of posts and poles for ag and ranch/fencing applications. Sales average is comparable to that of other P&amp;P operations around the west. May be opportunity for upside in California given proximity to treaters and large ag market.</t>
  </si>
  <si>
    <t>Technology Yes               Market No</t>
  </si>
  <si>
    <t>Technology Yes               Market Yes</t>
  </si>
  <si>
    <t xml:space="preserve">Convert wood to growing media for nurseries/ greenhouses. Would still need to sell 15 to 20% of base case sawmill's chips to outside buyer. </t>
  </si>
  <si>
    <t>$/Year by product</t>
  </si>
  <si>
    <t xml:space="preserve">Designed for California BioMAT rule. Would need about 75% of its fuel from outside sources if sited at Base Case sawmill. </t>
  </si>
  <si>
    <t>Assumes approximate Biomat power sales price of $200/MWH and rules about how much can be sold to grin vs. consumed internally. Assumes sawmill would by steam for dry kilns, which is almost $300K per year revenue for power plant.</t>
  </si>
  <si>
    <t>100% of growing media sold to nurseries/ greenhouses in Central Valley. No publishes sales value. $20.00 per CY may be optimistic. Also, uncertain if market could absorb full volume produced.</t>
  </si>
  <si>
    <t>Mix of timbers, dimension and small timbers. Sales realizations based on November 2024 Random Lengths.</t>
  </si>
  <si>
    <t>This business is an adder to the sawmill. Assumes all low grade lumber produced at the mill is used to make pallets. That only makes up about 25% of supply needed for pallet making if mill runs 1 shift and 1,000 pallets/day. Balance of lumber needed is purchased from other sources.</t>
  </si>
  <si>
    <t>This business is an adder to the sawmill. Assumes premium quality 6" width material produced at sawmill becomes decking via thermal modification.</t>
  </si>
  <si>
    <t>This business is an adder to the sawmill.Treating added as a way to increase sales revenue. No Cap Ex included because treating provided by others.</t>
  </si>
  <si>
    <t>Small sawmill. 1 shift operation is ~20,000 BDT/year log consumption means this size should be relatively easy to supply if carefully sited.</t>
  </si>
  <si>
    <t>Small volume matched to output of 5 wood wool shredder machines. Could be precursor to start up of WWC-LWE.</t>
  </si>
  <si>
    <t>Sales of WWC - LWE only, no acoustic panels. Sized to match Eltomation standard plant.</t>
  </si>
  <si>
    <t>Volume out as main finished product /Volume in</t>
  </si>
  <si>
    <t>Assumes use of veneer peeler cores. Could be Small Diameter Roundwood or possibly lumber trim ends.</t>
  </si>
  <si>
    <t xml:space="preserve">  = EBITDA RTL @ mill gate</t>
  </si>
  <si>
    <t xml:space="preserve">  = EBIT RTL @ mill gate</t>
  </si>
  <si>
    <t>Logging Cost</t>
  </si>
  <si>
    <t>Hauling Cost</t>
  </si>
  <si>
    <t xml:space="preserve"> = EBITDA RTL standing timber</t>
  </si>
  <si>
    <t>n/a</t>
  </si>
  <si>
    <t xml:space="preserve"> = EBIT RTL standing timber</t>
  </si>
  <si>
    <t xml:space="preserve">Capital Cost </t>
  </si>
  <si>
    <t>MBF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</si>
</sst>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_(* #,##0.000_);_(* \(#,##0.000\);_(* &quot;-&quot;??_);_(@_)"/>
    <numFmt numFmtId="167" formatCode="_(* #,##0.0000000_);_(* \(#,##0.0000000\);_(* &quot;-&quot;??_);_(@_)"/>
  </numFmts>
  <fonts count="8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48"/>
      <color rgb="FFFF0000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6">
    <xf numFmtId="0" fontId="0" fillId="0" borderId="0" xfId="0"/>
    <xf numFmtId="0" fontId="0" fillId="3" borderId="0" xfId="0" applyFill="1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3" borderId="0" xfId="0" applyFont="1" applyFill="1"/>
    <xf numFmtId="164" fontId="0" fillId="3" borderId="0" xfId="1" applyNumberFormat="1" applyFont="1" applyFill="1"/>
    <xf numFmtId="0" fontId="0" fillId="3" borderId="5" xfId="0" applyFill="1" applyBorder="1"/>
    <xf numFmtId="0" fontId="0" fillId="3" borderId="6" xfId="0" applyFill="1" applyBorder="1"/>
    <xf numFmtId="164" fontId="0" fillId="3" borderId="7" xfId="1" applyNumberFormat="1" applyFont="1" applyFill="1" applyBorder="1" applyAlignment="1">
      <alignment horizontal="right"/>
    </xf>
    <xf numFmtId="0" fontId="0" fillId="3" borderId="8" xfId="0" applyFill="1" applyBorder="1"/>
    <xf numFmtId="9" fontId="0" fillId="3" borderId="7" xfId="3" applyFont="1" applyFill="1" applyBorder="1" applyAlignment="1">
      <alignment horizontal="right"/>
    </xf>
    <xf numFmtId="9" fontId="0" fillId="3" borderId="0" xfId="3" applyFont="1" applyFill="1"/>
    <xf numFmtId="165" fontId="0" fillId="3" borderId="0" xfId="2" applyNumberFormat="1" applyFont="1" applyFill="1"/>
    <xf numFmtId="0" fontId="0" fillId="3" borderId="10" xfId="0" applyFill="1" applyBorder="1"/>
    <xf numFmtId="0" fontId="0" fillId="3" borderId="11" xfId="0" applyFill="1" applyBorder="1"/>
    <xf numFmtId="165" fontId="0" fillId="3" borderId="0" xfId="2" applyNumberFormat="1" applyFont="1" applyFill="1" applyBorder="1"/>
    <xf numFmtId="0" fontId="2" fillId="2" borderId="5" xfId="0" applyFont="1" applyFill="1" applyBorder="1"/>
    <xf numFmtId="0" fontId="2" fillId="2" borderId="8" xfId="0" applyFont="1" applyFill="1" applyBorder="1"/>
    <xf numFmtId="165" fontId="0" fillId="3" borderId="0" xfId="0" applyNumberFormat="1" applyFill="1"/>
    <xf numFmtId="0" fontId="0" fillId="3" borderId="0" xfId="0" applyFill="1" applyAlignment="1">
      <alignment horizontal="right"/>
    </xf>
    <xf numFmtId="0" fontId="2" fillId="3" borderId="19" xfId="0" applyFont="1" applyFill="1" applyBorder="1" applyAlignment="1">
      <alignment wrapText="1"/>
    </xf>
    <xf numFmtId="0" fontId="0" fillId="3" borderId="20" xfId="0" applyFill="1" applyBorder="1" applyAlignment="1">
      <alignment wrapText="1"/>
    </xf>
    <xf numFmtId="0" fontId="0" fillId="3" borderId="20" xfId="0" applyFill="1" applyBorder="1" applyAlignment="1">
      <alignment horizontal="right" wrapText="1"/>
    </xf>
    <xf numFmtId="164" fontId="0" fillId="3" borderId="20" xfId="0" applyNumberFormat="1" applyFill="1" applyBorder="1" applyAlignment="1">
      <alignment horizontal="center" wrapText="1"/>
    </xf>
    <xf numFmtId="0" fontId="2" fillId="3" borderId="22" xfId="0" applyFont="1" applyFill="1" applyBorder="1" applyAlignment="1">
      <alignment wrapText="1"/>
    </xf>
    <xf numFmtId="0" fontId="0" fillId="3" borderId="23" xfId="0" applyFill="1" applyBorder="1" applyAlignment="1">
      <alignment wrapText="1"/>
    </xf>
    <xf numFmtId="0" fontId="0" fillId="3" borderId="0" xfId="0" applyFill="1" applyAlignment="1">
      <alignment wrapText="1"/>
    </xf>
    <xf numFmtId="167" fontId="3" fillId="3" borderId="0" xfId="0" applyNumberFormat="1" applyFont="1" applyFill="1"/>
    <xf numFmtId="164" fontId="0" fillId="3" borderId="0" xfId="1" applyNumberFormat="1" applyFont="1" applyFill="1" applyBorder="1" applyAlignment="1">
      <alignment horizontal="right"/>
    </xf>
    <xf numFmtId="0" fontId="4" fillId="2" borderId="26" xfId="0" applyFont="1" applyFill="1" applyBorder="1" applyAlignment="1">
      <alignment horizontal="center" wrapText="1"/>
    </xf>
    <xf numFmtId="0" fontId="3" fillId="3" borderId="0" xfId="0" applyFont="1" applyFill="1" applyAlignment="1">
      <alignment horizontal="center"/>
    </xf>
    <xf numFmtId="164" fontId="3" fillId="3" borderId="5" xfId="1" applyNumberFormat="1" applyFont="1" applyFill="1" applyBorder="1"/>
    <xf numFmtId="9" fontId="3" fillId="3" borderId="5" xfId="3" applyFont="1" applyFill="1" applyBorder="1"/>
    <xf numFmtId="0" fontId="4" fillId="2" borderId="30" xfId="0" applyFont="1" applyFill="1" applyBorder="1" applyAlignment="1">
      <alignment horizontal="center" wrapText="1"/>
    </xf>
    <xf numFmtId="0" fontId="3" fillId="3" borderId="31" xfId="0" applyFont="1" applyFill="1" applyBorder="1"/>
    <xf numFmtId="0" fontId="3" fillId="3" borderId="31" xfId="0" applyFont="1" applyFill="1" applyBorder="1" applyAlignment="1">
      <alignment horizontal="center"/>
    </xf>
    <xf numFmtId="0" fontId="3" fillId="3" borderId="32" xfId="0" applyFont="1" applyFill="1" applyBorder="1"/>
    <xf numFmtId="43" fontId="3" fillId="3" borderId="5" xfId="1" applyFont="1" applyFill="1" applyBorder="1"/>
    <xf numFmtId="165" fontId="3" fillId="3" borderId="34" xfId="2" applyNumberFormat="1" applyFont="1" applyFill="1" applyBorder="1"/>
    <xf numFmtId="165" fontId="3" fillId="3" borderId="34" xfId="0" applyNumberFormat="1" applyFont="1" applyFill="1" applyBorder="1"/>
    <xf numFmtId="165" fontId="3" fillId="3" borderId="34" xfId="0" applyNumberFormat="1" applyFont="1" applyFill="1" applyBorder="1" applyAlignment="1">
      <alignment horizontal="center"/>
    </xf>
    <xf numFmtId="0" fontId="3" fillId="3" borderId="34" xfId="0" applyFont="1" applyFill="1" applyBorder="1"/>
    <xf numFmtId="44" fontId="3" fillId="3" borderId="34" xfId="2" applyFont="1" applyFill="1" applyBorder="1"/>
    <xf numFmtId="165" fontId="3" fillId="3" borderId="33" xfId="2" applyNumberFormat="1" applyFont="1" applyFill="1" applyBorder="1"/>
    <xf numFmtId="165" fontId="3" fillId="4" borderId="34" xfId="0" applyNumberFormat="1" applyFont="1" applyFill="1" applyBorder="1"/>
    <xf numFmtId="0" fontId="3" fillId="4" borderId="31" xfId="0" applyFont="1" applyFill="1" applyBorder="1"/>
    <xf numFmtId="165" fontId="3" fillId="4" borderId="34" xfId="0" applyNumberFormat="1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  <xf numFmtId="0" fontId="4" fillId="3" borderId="0" xfId="0" applyFont="1" applyFill="1" applyAlignment="1">
      <alignment horizontal="center" wrapText="1"/>
    </xf>
    <xf numFmtId="0" fontId="3" fillId="5" borderId="4" xfId="0" applyFont="1" applyFill="1" applyBorder="1"/>
    <xf numFmtId="0" fontId="3" fillId="5" borderId="36" xfId="0" applyFont="1" applyFill="1" applyBorder="1"/>
    <xf numFmtId="0" fontId="3" fillId="5" borderId="38" xfId="0" applyFont="1" applyFill="1" applyBorder="1"/>
    <xf numFmtId="0" fontId="3" fillId="5" borderId="39" xfId="0" applyFont="1" applyFill="1" applyBorder="1"/>
    <xf numFmtId="0" fontId="0" fillId="3" borderId="28" xfId="0" applyFill="1" applyBorder="1"/>
    <xf numFmtId="0" fontId="0" fillId="3" borderId="40" xfId="0" applyFill="1" applyBorder="1"/>
    <xf numFmtId="0" fontId="0" fillId="3" borderId="27" xfId="0" applyFill="1" applyBorder="1"/>
    <xf numFmtId="0" fontId="0" fillId="3" borderId="42" xfId="0" applyFill="1" applyBorder="1"/>
    <xf numFmtId="0" fontId="2" fillId="3" borderId="4" xfId="0" applyFont="1" applyFill="1" applyBorder="1"/>
    <xf numFmtId="0" fontId="2" fillId="3" borderId="2" xfId="0" applyFont="1" applyFill="1" applyBorder="1"/>
    <xf numFmtId="0" fontId="2" fillId="3" borderId="14" xfId="0" applyFont="1" applyFill="1" applyBorder="1"/>
    <xf numFmtId="0" fontId="2" fillId="3" borderId="18" xfId="0" applyFont="1" applyFill="1" applyBorder="1" applyAlignment="1">
      <alignment horizontal="center" wrapText="1"/>
    </xf>
    <xf numFmtId="0" fontId="2" fillId="3" borderId="15" xfId="0" applyFont="1" applyFill="1" applyBorder="1" applyAlignment="1">
      <alignment horizontal="center" wrapText="1"/>
    </xf>
    <xf numFmtId="0" fontId="2" fillId="3" borderId="16" xfId="0" applyFont="1" applyFill="1" applyBorder="1" applyAlignment="1">
      <alignment horizontal="center" wrapText="1"/>
    </xf>
    <xf numFmtId="0" fontId="2" fillId="3" borderId="17" xfId="0" applyFont="1" applyFill="1" applyBorder="1" applyAlignment="1">
      <alignment horizontal="center" wrapText="1"/>
    </xf>
    <xf numFmtId="0" fontId="0" fillId="2" borderId="28" xfId="0" applyFill="1" applyBorder="1"/>
    <xf numFmtId="0" fontId="0" fillId="2" borderId="40" xfId="0" applyFill="1" applyBorder="1"/>
    <xf numFmtId="0" fontId="0" fillId="2" borderId="10" xfId="0" applyFill="1" applyBorder="1"/>
    <xf numFmtId="0" fontId="0" fillId="2" borderId="11" xfId="0" applyFill="1" applyBorder="1"/>
    <xf numFmtId="164" fontId="0" fillId="3" borderId="45" xfId="1" applyNumberFormat="1" applyFont="1" applyFill="1" applyBorder="1" applyAlignment="1">
      <alignment horizontal="right"/>
    </xf>
    <xf numFmtId="164" fontId="0" fillId="3" borderId="9" xfId="1" applyNumberFormat="1" applyFont="1" applyFill="1" applyBorder="1" applyAlignment="1">
      <alignment horizontal="right"/>
    </xf>
    <xf numFmtId="9" fontId="0" fillId="3" borderId="9" xfId="3" applyFont="1" applyFill="1" applyBorder="1" applyAlignment="1">
      <alignment horizontal="right"/>
    </xf>
    <xf numFmtId="0" fontId="2" fillId="2" borderId="27" xfId="0" applyFont="1" applyFill="1" applyBorder="1"/>
    <xf numFmtId="0" fontId="2" fillId="2" borderId="42" xfId="0" applyFont="1" applyFill="1" applyBorder="1"/>
    <xf numFmtId="44" fontId="3" fillId="3" borderId="34" xfId="0" applyNumberFormat="1" applyFont="1" applyFill="1" applyBorder="1" applyAlignment="1">
      <alignment horizontal="center"/>
    </xf>
    <xf numFmtId="165" fontId="3" fillId="0" borderId="0" xfId="2" applyNumberFormat="1" applyFont="1"/>
    <xf numFmtId="0" fontId="5" fillId="3" borderId="0" xfId="0" applyFont="1" applyFill="1"/>
    <xf numFmtId="165" fontId="0" fillId="3" borderId="7" xfId="2" applyNumberFormat="1" applyFont="1" applyFill="1" applyBorder="1" applyAlignment="1">
      <alignment horizontal="right"/>
    </xf>
    <xf numFmtId="165" fontId="0" fillId="3" borderId="9" xfId="2" applyNumberFormat="1" applyFont="1" applyFill="1" applyBorder="1" applyAlignment="1">
      <alignment horizontal="right"/>
    </xf>
    <xf numFmtId="165" fontId="0" fillId="3" borderId="8" xfId="2" applyNumberFormat="1" applyFont="1" applyFill="1" applyBorder="1" applyAlignment="1">
      <alignment horizontal="right"/>
    </xf>
    <xf numFmtId="165" fontId="0" fillId="3" borderId="25" xfId="2" applyNumberFormat="1" applyFont="1" applyFill="1" applyBorder="1" applyAlignment="1">
      <alignment horizontal="right"/>
    </xf>
    <xf numFmtId="0" fontId="0" fillId="3" borderId="21" xfId="0" applyFill="1" applyBorder="1" applyAlignment="1">
      <alignment wrapText="1"/>
    </xf>
    <xf numFmtId="43" fontId="0" fillId="3" borderId="0" xfId="0" applyNumberFormat="1" applyFill="1"/>
    <xf numFmtId="164" fontId="3" fillId="3" borderId="0" xfId="1" applyNumberFormat="1" applyFont="1" applyFill="1" applyBorder="1"/>
    <xf numFmtId="9" fontId="3" fillId="3" borderId="0" xfId="3" applyFont="1" applyFill="1" applyBorder="1"/>
    <xf numFmtId="166" fontId="3" fillId="3" borderId="0" xfId="1" applyNumberFormat="1" applyFont="1" applyFill="1" applyBorder="1"/>
    <xf numFmtId="44" fontId="3" fillId="3" borderId="0" xfId="2" applyFont="1" applyFill="1" applyBorder="1"/>
    <xf numFmtId="165" fontId="3" fillId="3" borderId="0" xfId="2" applyNumberFormat="1" applyFont="1" applyFill="1" applyBorder="1"/>
    <xf numFmtId="164" fontId="3" fillId="3" borderId="0" xfId="0" applyNumberFormat="1" applyFont="1" applyFill="1"/>
    <xf numFmtId="165" fontId="3" fillId="3" borderId="0" xfId="0" applyNumberFormat="1" applyFont="1" applyFill="1"/>
    <xf numFmtId="0" fontId="4" fillId="2" borderId="24" xfId="0" applyFont="1" applyFill="1" applyBorder="1" applyAlignment="1">
      <alignment horizontal="center" wrapText="1"/>
    </xf>
    <xf numFmtId="0" fontId="4" fillId="5" borderId="35" xfId="0" applyFont="1" applyFill="1" applyBorder="1"/>
    <xf numFmtId="0" fontId="3" fillId="3" borderId="47" xfId="0" applyFont="1" applyFill="1" applyBorder="1"/>
    <xf numFmtId="0" fontId="4" fillId="5" borderId="37" xfId="0" applyFont="1" applyFill="1" applyBorder="1"/>
    <xf numFmtId="0" fontId="3" fillId="3" borderId="48" xfId="0" applyFont="1" applyFill="1" applyBorder="1"/>
    <xf numFmtId="0" fontId="2" fillId="3" borderId="49" xfId="0" applyFont="1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164" fontId="0" fillId="3" borderId="21" xfId="0" applyNumberFormat="1" applyFill="1" applyBorder="1" applyAlignment="1">
      <alignment horizontal="center" wrapText="1"/>
    </xf>
    <xf numFmtId="0" fontId="0" fillId="3" borderId="50" xfId="0" applyFill="1" applyBorder="1" applyAlignment="1">
      <alignment wrapText="1"/>
    </xf>
    <xf numFmtId="165" fontId="0" fillId="3" borderId="41" xfId="2" applyNumberFormat="1" applyFont="1" applyFill="1" applyBorder="1" applyAlignment="1">
      <alignment horizontal="right"/>
    </xf>
    <xf numFmtId="165" fontId="0" fillId="3" borderId="40" xfId="2" applyNumberFormat="1" applyFont="1" applyFill="1" applyBorder="1" applyAlignment="1">
      <alignment horizontal="right"/>
    </xf>
    <xf numFmtId="165" fontId="0" fillId="3" borderId="29" xfId="2" applyNumberFormat="1" applyFont="1" applyFill="1" applyBorder="1" applyAlignment="1">
      <alignment horizontal="right"/>
    </xf>
    <xf numFmtId="165" fontId="0" fillId="3" borderId="12" xfId="2" applyNumberFormat="1" applyFont="1" applyFill="1" applyBorder="1" applyAlignment="1">
      <alignment horizontal="right"/>
    </xf>
    <xf numFmtId="165" fontId="0" fillId="3" borderId="13" xfId="2" applyNumberFormat="1" applyFont="1" applyFill="1" applyBorder="1" applyAlignment="1">
      <alignment horizontal="right"/>
    </xf>
    <xf numFmtId="165" fontId="0" fillId="3" borderId="43" xfId="2" applyNumberFormat="1" applyFont="1" applyFill="1" applyBorder="1" applyAlignment="1">
      <alignment horizontal="right"/>
    </xf>
    <xf numFmtId="165" fontId="0" fillId="3" borderId="44" xfId="2" applyNumberFormat="1" applyFont="1" applyFill="1" applyBorder="1" applyAlignment="1">
      <alignment horizontal="right"/>
    </xf>
    <xf numFmtId="165" fontId="0" fillId="2" borderId="41" xfId="2" applyNumberFormat="1" applyFont="1" applyFill="1" applyBorder="1" applyAlignment="1">
      <alignment horizontal="right"/>
    </xf>
    <xf numFmtId="165" fontId="0" fillId="2" borderId="46" xfId="2" applyNumberFormat="1" applyFont="1" applyFill="1" applyBorder="1" applyAlignment="1">
      <alignment horizontal="right"/>
    </xf>
    <xf numFmtId="165" fontId="0" fillId="2" borderId="12" xfId="2" applyNumberFormat="1" applyFont="1" applyFill="1" applyBorder="1" applyAlignment="1">
      <alignment horizontal="right"/>
    </xf>
    <xf numFmtId="165" fontId="0" fillId="2" borderId="13" xfId="2" applyNumberFormat="1" applyFont="1" applyFill="1" applyBorder="1" applyAlignment="1">
      <alignment horizontal="right"/>
    </xf>
    <xf numFmtId="165" fontId="2" fillId="2" borderId="7" xfId="2" applyNumberFormat="1" applyFont="1" applyFill="1" applyBorder="1" applyAlignment="1">
      <alignment horizontal="right"/>
    </xf>
    <xf numFmtId="165" fontId="2" fillId="2" borderId="9" xfId="2" applyNumberFormat="1" applyFont="1" applyFill="1" applyBorder="1" applyAlignment="1">
      <alignment horizontal="right"/>
    </xf>
    <xf numFmtId="165" fontId="2" fillId="2" borderId="43" xfId="2" applyNumberFormat="1" applyFont="1" applyFill="1" applyBorder="1" applyAlignment="1">
      <alignment horizontal="right"/>
    </xf>
    <xf numFmtId="165" fontId="2" fillId="2" borderId="44" xfId="2" applyNumberFormat="1" applyFont="1" applyFill="1" applyBorder="1" applyAlignment="1">
      <alignment horizontal="right"/>
    </xf>
    <xf numFmtId="0" fontId="0" fillId="2" borderId="5" xfId="0" applyFill="1" applyBorder="1"/>
    <xf numFmtId="165" fontId="1" fillId="2" borderId="7" xfId="2" applyNumberFormat="1" applyFont="1" applyFill="1" applyBorder="1" applyAlignment="1">
      <alignment horizontal="right"/>
    </xf>
    <xf numFmtId="0" fontId="0" fillId="2" borderId="27" xfId="0" applyFill="1" applyBorder="1"/>
    <xf numFmtId="0" fontId="0" fillId="2" borderId="8" xfId="0" applyFill="1" applyBorder="1"/>
    <xf numFmtId="165" fontId="1" fillId="2" borderId="12" xfId="2" applyNumberFormat="1" applyFont="1" applyFill="1" applyBorder="1" applyAlignment="1">
      <alignment horizontal="right"/>
    </xf>
    <xf numFmtId="165" fontId="2" fillId="2" borderId="13" xfId="2" applyNumberFormat="1" applyFont="1" applyFill="1" applyBorder="1" applyAlignment="1">
      <alignment horizontal="right"/>
    </xf>
    <xf numFmtId="165" fontId="1" fillId="2" borderId="41" xfId="2" applyNumberFormat="1" applyFont="1" applyFill="1" applyBorder="1" applyAlignment="1">
      <alignment horizontal="right"/>
    </xf>
    <xf numFmtId="165" fontId="1" fillId="2" borderId="46" xfId="2" applyNumberFormat="1" applyFont="1" applyFill="1" applyBorder="1" applyAlignment="1">
      <alignment horizontal="right"/>
    </xf>
    <xf numFmtId="165" fontId="1" fillId="2" borderId="11" xfId="2" applyNumberFormat="1" applyFont="1" applyFill="1" applyBorder="1" applyAlignment="1">
      <alignment horizontal="right"/>
    </xf>
    <xf numFmtId="0" fontId="2" fillId="3" borderId="0" xfId="0" applyFont="1" applyFill="1"/>
    <xf numFmtId="165" fontId="2" fillId="3" borderId="0" xfId="2" applyNumberFormat="1" applyFont="1" applyFill="1" applyBorder="1" applyAlignment="1">
      <alignment horizontal="righ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C17F6E-8BED-4CDF-B439-E2853F8ADAC1}">
  <dimension ref="B2:O67"/>
  <sheetViews>
    <sheetView zoomScale="80" zoomScaleNormal="80" workbookViewId="0">
      <selection activeCell="H9" sqref="H9"/>
    </sheetView>
  </sheetViews>
  <sheetFormatPr defaultColWidth="9.140625" defaultRowHeight="15" x14ac:dyDescent="0.25"/>
  <cols>
    <col min="1" max="1" width="4.28515625" style="1" customWidth="1"/>
    <col min="2" max="2" width="35.85546875" style="1" customWidth="1"/>
    <col min="3" max="3" width="44.28515625" style="1" customWidth="1"/>
    <col min="4" max="13" width="24.85546875" style="1" customWidth="1"/>
    <col min="14" max="14" width="9.140625" style="1"/>
    <col min="15" max="15" width="10.140625" style="1" bestFit="1" customWidth="1"/>
    <col min="16" max="16384" width="9.140625" style="1"/>
  </cols>
  <sheetData>
    <row r="2" spans="2:15" ht="62.25" customHeight="1" x14ac:dyDescent="1">
      <c r="B2" s="76"/>
      <c r="E2" s="6"/>
      <c r="F2" s="6"/>
    </row>
    <row r="3" spans="2:15" ht="15.75" thickBot="1" x14ac:dyDescent="0.3"/>
    <row r="4" spans="2:15" ht="30" x14ac:dyDescent="0.25">
      <c r="B4" s="58" t="s">
        <v>44</v>
      </c>
      <c r="C4" s="59" t="s">
        <v>45</v>
      </c>
      <c r="D4" s="2" t="s">
        <v>3</v>
      </c>
      <c r="E4" s="2" t="s">
        <v>4</v>
      </c>
      <c r="F4" s="3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  <c r="L4" s="2" t="s">
        <v>11</v>
      </c>
      <c r="M4" s="4" t="s">
        <v>12</v>
      </c>
    </row>
    <row r="5" spans="2:15" x14ac:dyDescent="0.25">
      <c r="B5" s="7" t="s">
        <v>46</v>
      </c>
      <c r="C5" s="8" t="s">
        <v>47</v>
      </c>
      <c r="D5" s="9">
        <f>'Detail for each Technology'!D5</f>
        <v>26009</v>
      </c>
      <c r="E5" s="9">
        <f>'Detail for each Technology'!F5</f>
        <v>1215</v>
      </c>
      <c r="F5" s="9">
        <f>'Detail for each Technology'!H5</f>
        <v>44919</v>
      </c>
      <c r="G5" s="9">
        <f>'Detail for each Technology'!J5</f>
        <v>8011</v>
      </c>
      <c r="H5" s="9">
        <f>'Detail for each Technology'!L5</f>
        <v>20044</v>
      </c>
      <c r="I5" s="9">
        <f>'Detail for each Technology'!N5</f>
        <v>20044</v>
      </c>
      <c r="J5" s="9">
        <f>'Detail for each Technology'!P5</f>
        <v>20044</v>
      </c>
      <c r="K5" s="9">
        <f>'Detail for each Technology'!R5</f>
        <v>20044</v>
      </c>
      <c r="L5" s="9">
        <f>'Detail for each Technology'!T5</f>
        <v>9500</v>
      </c>
      <c r="M5" s="69">
        <f>'Detail for each Technology'!V5</f>
        <v>7500</v>
      </c>
      <c r="N5" s="6"/>
    </row>
    <row r="6" spans="2:15" x14ac:dyDescent="0.25">
      <c r="B6" s="7" t="s">
        <v>104</v>
      </c>
      <c r="C6" s="10" t="s">
        <v>47</v>
      </c>
      <c r="D6" s="29">
        <f>'Detail for each Technology'!D7</f>
        <v>19506.75</v>
      </c>
      <c r="E6" s="9">
        <f>'Detail for each Technology'!F7</f>
        <v>1032.75</v>
      </c>
      <c r="F6" s="9">
        <f>'Detail for each Technology'!H7</f>
        <v>44919</v>
      </c>
      <c r="G6" s="9">
        <f>'Detail for each Technology'!J7</f>
        <v>8011</v>
      </c>
      <c r="H6" s="9">
        <f>'Detail for each Technology'!L7</f>
        <v>10022</v>
      </c>
      <c r="I6" s="9">
        <f>'Detail for each Technology'!N7</f>
        <v>10022</v>
      </c>
      <c r="J6" s="9">
        <f>'Detail for each Technology'!P7</f>
        <v>10022</v>
      </c>
      <c r="K6" s="9">
        <f>'Detail for each Technology'!R7</f>
        <v>10022</v>
      </c>
      <c r="L6" s="9">
        <f>'Detail for each Technology'!T7</f>
        <v>4940</v>
      </c>
      <c r="M6" s="70">
        <f>'Detail for each Technology'!V7</f>
        <v>7350</v>
      </c>
      <c r="N6" s="6"/>
      <c r="O6" s="82"/>
    </row>
    <row r="7" spans="2:15" x14ac:dyDescent="0.25">
      <c r="B7" s="7" t="s">
        <v>13</v>
      </c>
      <c r="C7" s="10" t="s">
        <v>48</v>
      </c>
      <c r="D7" s="9">
        <f>'Detail for each Technology'!D9</f>
        <v>4414377.5250000004</v>
      </c>
      <c r="E7" s="9">
        <f>'Detail for each Technology'!F9</f>
        <v>1032.75</v>
      </c>
      <c r="F7" s="9">
        <f>'Detail for each Technology'!H9</f>
        <v>35935.199999999997</v>
      </c>
      <c r="G7" s="9">
        <f>'Detail for each Technology'!J9</f>
        <v>182650.80000000002</v>
      </c>
      <c r="H7" s="9">
        <f>'Detail for each Technology'!L9</f>
        <v>11519.787900000001</v>
      </c>
      <c r="I7" s="9">
        <f>'Detail for each Technology'!N9</f>
        <v>11519.787900000001</v>
      </c>
      <c r="J7" s="9">
        <f>'Detail for each Technology'!P9</f>
        <v>11519.787900000001</v>
      </c>
      <c r="K7" s="9">
        <f>'Detail for each Technology'!R9</f>
        <v>11519.787900000001</v>
      </c>
      <c r="L7" s="9">
        <f>'Detail for each Technology'!T9</f>
        <v>4940</v>
      </c>
      <c r="M7" s="70">
        <f>'Detail for each Technology'!V9</f>
        <v>7903.2258064516145</v>
      </c>
      <c r="N7" s="6"/>
    </row>
    <row r="8" spans="2:15" x14ac:dyDescent="0.25">
      <c r="B8" s="7" t="s">
        <v>58</v>
      </c>
      <c r="C8" s="10" t="s">
        <v>119</v>
      </c>
      <c r="D8" s="9" t="s">
        <v>59</v>
      </c>
      <c r="E8" s="9" t="s">
        <v>14</v>
      </c>
      <c r="F8" s="9" t="s">
        <v>60</v>
      </c>
      <c r="G8" s="9" t="s">
        <v>61</v>
      </c>
      <c r="H8" s="9" t="s">
        <v>148</v>
      </c>
      <c r="I8" s="9" t="s">
        <v>148</v>
      </c>
      <c r="J8" s="9" t="s">
        <v>148</v>
      </c>
      <c r="K8" s="9" t="s">
        <v>148</v>
      </c>
      <c r="L8" s="9" t="s">
        <v>105</v>
      </c>
      <c r="M8" s="70" t="s">
        <v>62</v>
      </c>
      <c r="N8" s="6"/>
    </row>
    <row r="9" spans="2:15" x14ac:dyDescent="0.25">
      <c r="B9" s="7" t="s">
        <v>1</v>
      </c>
      <c r="C9" s="10" t="s">
        <v>138</v>
      </c>
      <c r="D9" s="11">
        <f>'Detail for each Technology'!D6</f>
        <v>0.75</v>
      </c>
      <c r="E9" s="11">
        <f>'Detail for each Technology'!F6</f>
        <v>0.85</v>
      </c>
      <c r="F9" s="11">
        <f>'Detail for each Technology'!H6</f>
        <v>1</v>
      </c>
      <c r="G9" s="11">
        <f>'Detail for each Technology'!J6</f>
        <v>1</v>
      </c>
      <c r="H9" s="11">
        <f>'Detail for each Technology'!L6</f>
        <v>0.5</v>
      </c>
      <c r="I9" s="11">
        <f>'Detail for each Technology'!N6</f>
        <v>0.5</v>
      </c>
      <c r="J9" s="11">
        <f>'Detail for each Technology'!P6</f>
        <v>0.5</v>
      </c>
      <c r="K9" s="11">
        <f>'Detail for each Technology'!R6</f>
        <v>0.5</v>
      </c>
      <c r="L9" s="11">
        <f>'Detail for each Technology'!T6</f>
        <v>0.52</v>
      </c>
      <c r="M9" s="71">
        <f>'Detail for each Technology'!V6</f>
        <v>0.98</v>
      </c>
      <c r="N9" s="12"/>
    </row>
    <row r="10" spans="2:15" x14ac:dyDescent="0.25">
      <c r="B10" s="7" t="s">
        <v>147</v>
      </c>
      <c r="C10" s="10" t="s">
        <v>28</v>
      </c>
      <c r="D10" s="77">
        <f>'Detail for each Technology'!D23</f>
        <v>45000000</v>
      </c>
      <c r="E10" s="77">
        <f>'Detail for each Technology'!F23</f>
        <v>750000</v>
      </c>
      <c r="F10" s="77">
        <f>'Detail for each Technology'!H23</f>
        <v>37500000</v>
      </c>
      <c r="G10" s="77">
        <f>'Detail for each Technology'!J23</f>
        <v>3650000</v>
      </c>
      <c r="H10" s="77">
        <f>'Detail for each Technology'!L23</f>
        <v>24450000</v>
      </c>
      <c r="I10" s="77">
        <f>'Detail for each Technology'!N23</f>
        <v>24450000</v>
      </c>
      <c r="J10" s="77">
        <f>'Detail for each Technology'!P23</f>
        <v>25450000</v>
      </c>
      <c r="K10" s="77">
        <f>'Detail for each Technology'!R23</f>
        <v>25550000</v>
      </c>
      <c r="L10" s="77">
        <f>'Detail for each Technology'!T23</f>
        <v>2000000</v>
      </c>
      <c r="M10" s="78">
        <f>'Detail for each Technology'!V23</f>
        <v>2500000</v>
      </c>
      <c r="N10" s="13"/>
    </row>
    <row r="11" spans="2:15" ht="15.75" thickBot="1" x14ac:dyDescent="0.3">
      <c r="B11" s="7" t="s">
        <v>49</v>
      </c>
      <c r="C11" s="10" t="s">
        <v>50</v>
      </c>
      <c r="D11" s="77">
        <f>'Detail for each Technology'!D25</f>
        <v>3000000</v>
      </c>
      <c r="E11" s="77">
        <f>'Detail for each Technology'!F25</f>
        <v>50000</v>
      </c>
      <c r="F11" s="77">
        <f>'Detail for each Technology'!H25</f>
        <v>2500000</v>
      </c>
      <c r="G11" s="77">
        <f>'Detail for each Technology'!J25</f>
        <v>243333.33333333334</v>
      </c>
      <c r="H11" s="77">
        <f>'Detail for each Technology'!L25</f>
        <v>1630000</v>
      </c>
      <c r="I11" s="77">
        <f>'Detail for each Technology'!N25</f>
        <v>1630000</v>
      </c>
      <c r="J11" s="79">
        <f>'Detail for each Technology'!P25</f>
        <v>1696666.6666666667</v>
      </c>
      <c r="K11" s="79">
        <f>'Detail for each Technology'!R25</f>
        <v>1703333.3333333333</v>
      </c>
      <c r="L11" s="79">
        <f>'Detail for each Technology'!T25</f>
        <v>133333.33333333334</v>
      </c>
      <c r="M11" s="80">
        <f>'Detail for each Technology'!V25</f>
        <v>166666.66666666666</v>
      </c>
      <c r="N11" s="13"/>
    </row>
    <row r="12" spans="2:15" ht="21" customHeight="1" x14ac:dyDescent="0.25">
      <c r="B12" s="54" t="s">
        <v>51</v>
      </c>
      <c r="C12" s="55" t="s">
        <v>52</v>
      </c>
      <c r="D12" s="100">
        <f>'Detail for each Technology'!D19</f>
        <v>25029520.566750001</v>
      </c>
      <c r="E12" s="100">
        <f>'Detail for each Technology'!F19</f>
        <v>1466287.5789473683</v>
      </c>
      <c r="F12" s="100">
        <f>'Detail for each Technology'!H19</f>
        <v>7472039.9999999991</v>
      </c>
      <c r="G12" s="100">
        <f>'Detail for each Technology'!J19</f>
        <v>3653016.0000000005</v>
      </c>
      <c r="H12" s="100">
        <f>'Detail for each Technology'!L19</f>
        <v>5899859.3729850007</v>
      </c>
      <c r="I12" s="101">
        <f>'Detail for each Technology'!N19</f>
        <v>6429424.0227480009</v>
      </c>
      <c r="J12" s="101">
        <f>'Detail for each Technology'!P19</f>
        <v>6399011.7826920012</v>
      </c>
      <c r="K12" s="101">
        <f>'Detail for each Technology'!R19</f>
        <v>8430727.9454039987</v>
      </c>
      <c r="L12" s="101">
        <f>'Detail for each Technology'!T19</f>
        <v>2955000.0001439997</v>
      </c>
      <c r="M12" s="102">
        <f>'Detail for each Technology'!V19</f>
        <v>1631700</v>
      </c>
      <c r="N12" s="13"/>
    </row>
    <row r="13" spans="2:15" ht="21" customHeight="1" x14ac:dyDescent="0.25">
      <c r="B13" s="14" t="s">
        <v>53</v>
      </c>
      <c r="C13" s="15" t="s">
        <v>52</v>
      </c>
      <c r="D13" s="103">
        <f>'Detail for each Technology'!D37</f>
        <v>14213750</v>
      </c>
      <c r="E13" s="103">
        <f>'Detail for each Technology'!F37</f>
        <v>1336845</v>
      </c>
      <c r="F13" s="103">
        <f>'Detail for each Technology'!H37</f>
        <v>2249500</v>
      </c>
      <c r="G13" s="103">
        <f>'Detail for each Technology'!J37</f>
        <v>3162650</v>
      </c>
      <c r="H13" s="103">
        <f>'Detail for each Technology'!L37</f>
        <v>3508360</v>
      </c>
      <c r="I13" s="103">
        <f>'Detail for each Technology'!N37</f>
        <v>3777850</v>
      </c>
      <c r="J13" s="103">
        <f>'Detail for each Technology'!P37</f>
        <v>3624000</v>
      </c>
      <c r="K13" s="103">
        <f>'Detail for each Technology'!R37</f>
        <v>5852953.4943827363</v>
      </c>
      <c r="L13" s="103">
        <f>'Detail for each Technology'!T37</f>
        <v>804940</v>
      </c>
      <c r="M13" s="104">
        <f>'Detail for each Technology'!V37</f>
        <v>1061213</v>
      </c>
      <c r="N13" s="13"/>
    </row>
    <row r="14" spans="2:15" ht="21" customHeight="1" x14ac:dyDescent="0.25">
      <c r="B14" s="7" t="s">
        <v>54</v>
      </c>
      <c r="C14" s="10" t="s">
        <v>52</v>
      </c>
      <c r="D14" s="77">
        <f>D12-D13</f>
        <v>10815770.566750001</v>
      </c>
      <c r="E14" s="77">
        <f t="shared" ref="E14:M14" si="0">E12-E13</f>
        <v>129442.57894736831</v>
      </c>
      <c r="F14" s="77">
        <f t="shared" si="0"/>
        <v>5222539.9999999991</v>
      </c>
      <c r="G14" s="77">
        <f t="shared" si="0"/>
        <v>490366.00000000047</v>
      </c>
      <c r="H14" s="77">
        <f t="shared" si="0"/>
        <v>2391499.3729850007</v>
      </c>
      <c r="I14" s="77">
        <f t="shared" si="0"/>
        <v>2651574.0227480009</v>
      </c>
      <c r="J14" s="77">
        <f t="shared" si="0"/>
        <v>2775011.7826920012</v>
      </c>
      <c r="K14" s="77">
        <f t="shared" si="0"/>
        <v>2577774.4510212624</v>
      </c>
      <c r="L14" s="77">
        <f t="shared" si="0"/>
        <v>2150060.0001439997</v>
      </c>
      <c r="M14" s="77">
        <f t="shared" si="0"/>
        <v>570487</v>
      </c>
      <c r="N14" s="16"/>
    </row>
    <row r="15" spans="2:15" ht="21" customHeight="1" x14ac:dyDescent="0.25">
      <c r="B15" s="14" t="s">
        <v>55</v>
      </c>
      <c r="C15" s="15" t="s">
        <v>52</v>
      </c>
      <c r="D15" s="103">
        <f t="shared" ref="D15:M15" si="1">D11</f>
        <v>3000000</v>
      </c>
      <c r="E15" s="103">
        <f t="shared" si="1"/>
        <v>50000</v>
      </c>
      <c r="F15" s="103">
        <f t="shared" si="1"/>
        <v>2500000</v>
      </c>
      <c r="G15" s="103">
        <f t="shared" si="1"/>
        <v>243333.33333333334</v>
      </c>
      <c r="H15" s="103">
        <f t="shared" si="1"/>
        <v>1630000</v>
      </c>
      <c r="I15" s="103">
        <f t="shared" si="1"/>
        <v>1630000</v>
      </c>
      <c r="J15" s="103">
        <f t="shared" si="1"/>
        <v>1696666.6666666667</v>
      </c>
      <c r="K15" s="103">
        <f t="shared" si="1"/>
        <v>1703333.3333333333</v>
      </c>
      <c r="L15" s="103">
        <f t="shared" si="1"/>
        <v>133333.33333333334</v>
      </c>
      <c r="M15" s="104">
        <f t="shared" si="1"/>
        <v>166666.66666666666</v>
      </c>
      <c r="N15" s="16"/>
    </row>
    <row r="16" spans="2:15" ht="21" customHeight="1" thickBot="1" x14ac:dyDescent="0.3">
      <c r="B16" s="56" t="s">
        <v>56</v>
      </c>
      <c r="C16" s="57" t="s">
        <v>52</v>
      </c>
      <c r="D16" s="105">
        <f>SUM(D14:D15)</f>
        <v>13815770.566750001</v>
      </c>
      <c r="E16" s="105">
        <f t="shared" ref="E16" si="2">SUM(E14:E15)</f>
        <v>179442.57894736831</v>
      </c>
      <c r="F16" s="105">
        <f t="shared" ref="F16:G16" si="3">SUM(F14:F15)</f>
        <v>7722539.9999999991</v>
      </c>
      <c r="G16" s="105">
        <f t="shared" si="3"/>
        <v>733699.33333333384</v>
      </c>
      <c r="H16" s="105">
        <f t="shared" ref="H16:I16" si="4">SUM(H14:H15)</f>
        <v>4021499.3729850007</v>
      </c>
      <c r="I16" s="105">
        <f t="shared" si="4"/>
        <v>4281574.0227480009</v>
      </c>
      <c r="J16" s="105">
        <f>SUM(J14:J15)</f>
        <v>4471678.4493586682</v>
      </c>
      <c r="K16" s="105">
        <f>SUM(K14:K15)</f>
        <v>4281107.7843545955</v>
      </c>
      <c r="L16" s="105">
        <f t="shared" ref="L16:M16" si="5">SUM(L14:L15)</f>
        <v>2283393.3334773332</v>
      </c>
      <c r="M16" s="106">
        <f t="shared" si="5"/>
        <v>737153.66666666663</v>
      </c>
      <c r="N16" s="16"/>
    </row>
    <row r="17" spans="2:14" ht="21" customHeight="1" x14ac:dyDescent="0.25">
      <c r="B17" s="65" t="s">
        <v>51</v>
      </c>
      <c r="C17" s="66" t="s">
        <v>57</v>
      </c>
      <c r="D17" s="107">
        <f>D12/D5</f>
        <v>962.34075000000007</v>
      </c>
      <c r="E17" s="107">
        <f t="shared" ref="E17:M17" si="6">E12/E5</f>
        <v>1206.8210526315788</v>
      </c>
      <c r="F17" s="107">
        <f t="shared" si="6"/>
        <v>166.34475389033591</v>
      </c>
      <c r="G17" s="107">
        <f t="shared" si="6"/>
        <v>456.00000000000006</v>
      </c>
      <c r="H17" s="107">
        <f t="shared" si="6"/>
        <v>294.34540875000005</v>
      </c>
      <c r="I17" s="107">
        <f t="shared" si="6"/>
        <v>320.76551700000005</v>
      </c>
      <c r="J17" s="107">
        <f t="shared" si="6"/>
        <v>319.24824300000006</v>
      </c>
      <c r="K17" s="107">
        <f t="shared" si="6"/>
        <v>420.6110529537018</v>
      </c>
      <c r="L17" s="107">
        <f t="shared" si="6"/>
        <v>311.05263159410521</v>
      </c>
      <c r="M17" s="108">
        <f t="shared" si="6"/>
        <v>217.56</v>
      </c>
      <c r="N17" s="13"/>
    </row>
    <row r="18" spans="2:14" ht="21" customHeight="1" x14ac:dyDescent="0.25">
      <c r="B18" s="67" t="s">
        <v>113</v>
      </c>
      <c r="C18" s="68" t="s">
        <v>57</v>
      </c>
      <c r="D18" s="109">
        <f>D13/D5</f>
        <v>546.49352147333616</v>
      </c>
      <c r="E18" s="109">
        <f t="shared" ref="E18:M18" si="7">E13/E5</f>
        <v>1100.2839506172841</v>
      </c>
      <c r="F18" s="109">
        <f t="shared" si="7"/>
        <v>50.079031144949802</v>
      </c>
      <c r="G18" s="109">
        <f t="shared" si="7"/>
        <v>394.78841592809886</v>
      </c>
      <c r="H18" s="109">
        <f t="shared" si="7"/>
        <v>175.0329275593694</v>
      </c>
      <c r="I18" s="109">
        <f t="shared" si="7"/>
        <v>188.47784873278786</v>
      </c>
      <c r="J18" s="109">
        <f t="shared" si="7"/>
        <v>180.80223508281779</v>
      </c>
      <c r="K18" s="109">
        <f t="shared" si="7"/>
        <v>292.00526314022829</v>
      </c>
      <c r="L18" s="109">
        <f t="shared" si="7"/>
        <v>84.730526315789476</v>
      </c>
      <c r="M18" s="110">
        <f t="shared" si="7"/>
        <v>141.49506666666667</v>
      </c>
      <c r="N18" s="13"/>
    </row>
    <row r="19" spans="2:14" ht="21" customHeight="1" x14ac:dyDescent="0.25">
      <c r="B19" s="17" t="s">
        <v>140</v>
      </c>
      <c r="C19" s="18" t="s">
        <v>57</v>
      </c>
      <c r="D19" s="111">
        <f>D17-D18</f>
        <v>415.84722852666391</v>
      </c>
      <c r="E19" s="111">
        <f t="shared" ref="E19" si="8">E17-E18</f>
        <v>106.53710201429476</v>
      </c>
      <c r="F19" s="111">
        <f t="shared" ref="F19:G19" si="9">F17-F18</f>
        <v>116.26572274538611</v>
      </c>
      <c r="G19" s="111">
        <f t="shared" si="9"/>
        <v>61.2115840719012</v>
      </c>
      <c r="H19" s="111">
        <f t="shared" ref="H19:I19" si="10">H17-H18</f>
        <v>119.31248119063065</v>
      </c>
      <c r="I19" s="111">
        <f t="shared" si="10"/>
        <v>132.28766826721218</v>
      </c>
      <c r="J19" s="111">
        <f t="shared" ref="J19:L19" si="11">J17-J18</f>
        <v>138.44600791718227</v>
      </c>
      <c r="K19" s="111">
        <f t="shared" si="11"/>
        <v>128.60578981347351</v>
      </c>
      <c r="L19" s="111">
        <f t="shared" si="11"/>
        <v>226.32210527831575</v>
      </c>
      <c r="M19" s="112">
        <f>M17-M18</f>
        <v>76.064933333333329</v>
      </c>
      <c r="N19" s="19"/>
    </row>
    <row r="20" spans="2:14" ht="21" customHeight="1" x14ac:dyDescent="0.25">
      <c r="B20" s="115" t="s">
        <v>142</v>
      </c>
      <c r="C20" s="118" t="s">
        <v>57</v>
      </c>
      <c r="D20" s="116">
        <v>64</v>
      </c>
      <c r="E20" s="116">
        <v>64</v>
      </c>
      <c r="F20" s="116" t="s">
        <v>145</v>
      </c>
      <c r="G20" s="116" t="s">
        <v>145</v>
      </c>
      <c r="H20" s="116">
        <v>64</v>
      </c>
      <c r="I20" s="116">
        <v>64</v>
      </c>
      <c r="J20" s="116">
        <v>64</v>
      </c>
      <c r="K20" s="116">
        <v>64</v>
      </c>
      <c r="L20" s="116">
        <v>64</v>
      </c>
      <c r="M20" s="112" t="s">
        <v>145</v>
      </c>
      <c r="N20" s="19"/>
    </row>
    <row r="21" spans="2:14" ht="21" customHeight="1" x14ac:dyDescent="0.25">
      <c r="B21" s="67" t="s">
        <v>143</v>
      </c>
      <c r="C21" s="68" t="s">
        <v>57</v>
      </c>
      <c r="D21" s="119">
        <v>34.08</v>
      </c>
      <c r="E21" s="119">
        <v>34.08</v>
      </c>
      <c r="F21" s="119" t="s">
        <v>145</v>
      </c>
      <c r="G21" s="119" t="s">
        <v>145</v>
      </c>
      <c r="H21" s="119">
        <v>34.08</v>
      </c>
      <c r="I21" s="119">
        <v>34.08</v>
      </c>
      <c r="J21" s="119">
        <v>34.08</v>
      </c>
      <c r="K21" s="119">
        <v>34.08</v>
      </c>
      <c r="L21" s="119">
        <v>34.08</v>
      </c>
      <c r="M21" s="120" t="s">
        <v>145</v>
      </c>
      <c r="N21" s="19"/>
    </row>
    <row r="22" spans="2:14" ht="21" customHeight="1" thickBot="1" x14ac:dyDescent="0.3">
      <c r="B22" s="117" t="s">
        <v>144</v>
      </c>
      <c r="C22" s="73" t="s">
        <v>57</v>
      </c>
      <c r="D22" s="113">
        <f>D19-D20-D21</f>
        <v>317.76722852666393</v>
      </c>
      <c r="E22" s="113">
        <f>E19-E20-E21</f>
        <v>8.4571020142947617</v>
      </c>
      <c r="F22" s="113" t="s">
        <v>145</v>
      </c>
      <c r="G22" s="113" t="s">
        <v>145</v>
      </c>
      <c r="H22" s="113">
        <f>H19-H20-H21</f>
        <v>21.232481190630651</v>
      </c>
      <c r="I22" s="113">
        <f>I19-I20-I21</f>
        <v>34.207668267212185</v>
      </c>
      <c r="J22" s="113">
        <f>J19-J20-J21</f>
        <v>40.366007917182273</v>
      </c>
      <c r="K22" s="113">
        <f>K19-K20-K21</f>
        <v>30.525789813473509</v>
      </c>
      <c r="L22" s="113">
        <f>L19-L20-L21</f>
        <v>128.24210527831576</v>
      </c>
      <c r="M22" s="114" t="s">
        <v>145</v>
      </c>
      <c r="N22" s="19"/>
    </row>
    <row r="23" spans="2:14" ht="21" customHeight="1" thickBot="1" x14ac:dyDescent="0.3">
      <c r="C23" s="124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9"/>
    </row>
    <row r="24" spans="2:14" ht="21" customHeight="1" x14ac:dyDescent="0.25">
      <c r="B24" s="65" t="str">
        <f>B19</f>
        <v xml:space="preserve">  = EBITDA RTL @ mill gate</v>
      </c>
      <c r="C24" s="65" t="str">
        <f t="shared" ref="C24:M24" si="12">C19</f>
        <v>Dollars/BDT</v>
      </c>
      <c r="D24" s="121">
        <f t="shared" si="12"/>
        <v>415.84722852666391</v>
      </c>
      <c r="E24" s="121">
        <f t="shared" si="12"/>
        <v>106.53710201429476</v>
      </c>
      <c r="F24" s="121">
        <f t="shared" si="12"/>
        <v>116.26572274538611</v>
      </c>
      <c r="G24" s="121">
        <f t="shared" si="12"/>
        <v>61.2115840719012</v>
      </c>
      <c r="H24" s="121">
        <f t="shared" si="12"/>
        <v>119.31248119063065</v>
      </c>
      <c r="I24" s="121">
        <f t="shared" si="12"/>
        <v>132.28766826721218</v>
      </c>
      <c r="J24" s="121">
        <f t="shared" si="12"/>
        <v>138.44600791718227</v>
      </c>
      <c r="K24" s="121">
        <f t="shared" si="12"/>
        <v>128.60578981347351</v>
      </c>
      <c r="L24" s="121">
        <f t="shared" si="12"/>
        <v>226.32210527831575</v>
      </c>
      <c r="M24" s="122">
        <f t="shared" si="12"/>
        <v>76.064933333333329</v>
      </c>
      <c r="N24" s="19"/>
    </row>
    <row r="25" spans="2:14" ht="21" customHeight="1" x14ac:dyDescent="0.25">
      <c r="B25" s="67" t="s">
        <v>114</v>
      </c>
      <c r="C25" s="68" t="s">
        <v>57</v>
      </c>
      <c r="D25" s="109">
        <f t="shared" ref="D25:M25" si="13">D11/D5</f>
        <v>115.34468837710024</v>
      </c>
      <c r="E25" s="109">
        <f t="shared" si="13"/>
        <v>41.152263374485599</v>
      </c>
      <c r="F25" s="109">
        <f t="shared" si="13"/>
        <v>55.655735880139808</v>
      </c>
      <c r="G25" s="109">
        <f t="shared" si="13"/>
        <v>30.374901177547539</v>
      </c>
      <c r="H25" s="109">
        <f t="shared" si="13"/>
        <v>81.321093594093</v>
      </c>
      <c r="I25" s="109">
        <f t="shared" si="13"/>
        <v>81.321093594093</v>
      </c>
      <c r="J25" s="123">
        <f t="shared" si="13"/>
        <v>84.647109692010915</v>
      </c>
      <c r="K25" s="109">
        <f t="shared" si="13"/>
        <v>84.979711301802695</v>
      </c>
      <c r="L25" s="109">
        <f t="shared" si="13"/>
        <v>14.035087719298247</v>
      </c>
      <c r="M25" s="110">
        <f t="shared" si="13"/>
        <v>22.222222222222221</v>
      </c>
      <c r="N25" s="19"/>
    </row>
    <row r="26" spans="2:14" ht="21" customHeight="1" thickBot="1" x14ac:dyDescent="0.3">
      <c r="B26" s="72" t="s">
        <v>141</v>
      </c>
      <c r="C26" s="73" t="s">
        <v>57</v>
      </c>
      <c r="D26" s="113">
        <f t="shared" ref="D26:M26" si="14">D17-(D18+D11/D5)</f>
        <v>300.50254014956363</v>
      </c>
      <c r="E26" s="113">
        <f t="shared" si="14"/>
        <v>65.384838639809232</v>
      </c>
      <c r="F26" s="113">
        <f t="shared" si="14"/>
        <v>60.609986865246299</v>
      </c>
      <c r="G26" s="113">
        <f t="shared" si="14"/>
        <v>30.836682894353658</v>
      </c>
      <c r="H26" s="113">
        <f t="shared" si="14"/>
        <v>37.991387596537663</v>
      </c>
      <c r="I26" s="113">
        <f t="shared" si="14"/>
        <v>50.966574673119169</v>
      </c>
      <c r="J26" s="113">
        <f t="shared" si="14"/>
        <v>53.798898225171342</v>
      </c>
      <c r="K26" s="113">
        <f t="shared" si="14"/>
        <v>43.626078511670812</v>
      </c>
      <c r="L26" s="113">
        <f t="shared" si="14"/>
        <v>212.2870175590175</v>
      </c>
      <c r="M26" s="114">
        <f t="shared" si="14"/>
        <v>53.8427111111111</v>
      </c>
      <c r="N26" s="19"/>
    </row>
    <row r="27" spans="2:14" x14ac:dyDescent="0.25">
      <c r="B27" s="115" t="s">
        <v>142</v>
      </c>
      <c r="C27" s="118" t="s">
        <v>57</v>
      </c>
      <c r="D27" s="116">
        <v>64</v>
      </c>
      <c r="E27" s="116">
        <v>64</v>
      </c>
      <c r="F27" s="116" t="s">
        <v>145</v>
      </c>
      <c r="G27" s="116" t="s">
        <v>145</v>
      </c>
      <c r="H27" s="116">
        <v>64</v>
      </c>
      <c r="I27" s="116">
        <v>64</v>
      </c>
      <c r="J27" s="116">
        <v>64</v>
      </c>
      <c r="K27" s="116">
        <v>64</v>
      </c>
      <c r="L27" s="116">
        <v>64</v>
      </c>
      <c r="M27" s="112" t="s">
        <v>145</v>
      </c>
      <c r="N27" s="20"/>
    </row>
    <row r="28" spans="2:14" x14ac:dyDescent="0.25">
      <c r="B28" s="67" t="s">
        <v>143</v>
      </c>
      <c r="C28" s="68" t="s">
        <v>57</v>
      </c>
      <c r="D28" s="119">
        <v>34.08</v>
      </c>
      <c r="E28" s="119">
        <v>34.08</v>
      </c>
      <c r="F28" s="119" t="s">
        <v>145</v>
      </c>
      <c r="G28" s="119" t="s">
        <v>145</v>
      </c>
      <c r="H28" s="119">
        <v>34.08</v>
      </c>
      <c r="I28" s="119">
        <v>34.08</v>
      </c>
      <c r="J28" s="119">
        <v>34.08</v>
      </c>
      <c r="K28" s="119">
        <v>34.08</v>
      </c>
      <c r="L28" s="119">
        <v>34.08</v>
      </c>
      <c r="M28" s="120" t="s">
        <v>145</v>
      </c>
      <c r="N28" s="20"/>
    </row>
    <row r="29" spans="2:14" ht="15.75" thickBot="1" x14ac:dyDescent="0.3">
      <c r="B29" s="72" t="s">
        <v>146</v>
      </c>
      <c r="C29" s="73" t="s">
        <v>57</v>
      </c>
      <c r="D29" s="113">
        <f>D26-D27-D28</f>
        <v>202.42254014956364</v>
      </c>
      <c r="E29" s="113">
        <f>E26-E27-E28</f>
        <v>-32.695161360190767</v>
      </c>
      <c r="F29" s="113" t="s">
        <v>145</v>
      </c>
      <c r="G29" s="113" t="s">
        <v>145</v>
      </c>
      <c r="H29" s="113">
        <f>H26-H27-H28</f>
        <v>-60.088612403462335</v>
      </c>
      <c r="I29" s="113">
        <f>I26-I27-I28</f>
        <v>-47.113425326880829</v>
      </c>
      <c r="J29" s="113">
        <f>J26-J27-J28</f>
        <v>-44.281101774828656</v>
      </c>
      <c r="K29" s="113">
        <f>K26-K27-K28</f>
        <v>-54.453921488329186</v>
      </c>
      <c r="L29" s="113">
        <f>L26-L27-L28</f>
        <v>114.2070175590175</v>
      </c>
      <c r="M29" s="114" t="s">
        <v>145</v>
      </c>
      <c r="N29" s="20"/>
    </row>
    <row r="30" spans="2:14" x14ac:dyDescent="0.25">
      <c r="N30" s="20"/>
    </row>
    <row r="31" spans="2:14" x14ac:dyDescent="0.25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</row>
    <row r="32" spans="2:14" ht="15.75" thickBot="1" x14ac:dyDescent="0.3"/>
    <row r="33" spans="3:13" ht="30.75" thickBot="1" x14ac:dyDescent="0.3">
      <c r="C33" s="60" t="s">
        <v>63</v>
      </c>
      <c r="D33" s="61" t="s">
        <v>3</v>
      </c>
      <c r="E33" s="62" t="s">
        <v>4</v>
      </c>
      <c r="F33" s="62" t="s">
        <v>5</v>
      </c>
      <c r="G33" s="62" t="s">
        <v>6</v>
      </c>
      <c r="H33" s="62" t="s">
        <v>7</v>
      </c>
      <c r="I33" s="62" t="s">
        <v>8</v>
      </c>
      <c r="J33" s="62" t="s">
        <v>9</v>
      </c>
      <c r="K33" s="63" t="s">
        <v>10</v>
      </c>
      <c r="L33" s="62" t="s">
        <v>11</v>
      </c>
      <c r="M33" s="64" t="s">
        <v>12</v>
      </c>
    </row>
    <row r="34" spans="3:13" ht="38.25" customHeight="1" x14ac:dyDescent="0.25">
      <c r="C34" s="95" t="s">
        <v>64</v>
      </c>
      <c r="D34" s="96" t="s">
        <v>65</v>
      </c>
      <c r="E34" s="96" t="s">
        <v>65</v>
      </c>
      <c r="F34" s="96" t="s">
        <v>120</v>
      </c>
      <c r="G34" s="96" t="s">
        <v>120</v>
      </c>
      <c r="H34" s="96" t="s">
        <v>65</v>
      </c>
      <c r="I34" s="96" t="s">
        <v>120</v>
      </c>
      <c r="J34" s="96" t="s">
        <v>120</v>
      </c>
      <c r="K34" s="96" t="s">
        <v>120</v>
      </c>
      <c r="L34" s="96" t="s">
        <v>65</v>
      </c>
      <c r="M34" s="97" t="s">
        <v>120</v>
      </c>
    </row>
    <row r="35" spans="3:13" ht="80.25" customHeight="1" x14ac:dyDescent="0.25">
      <c r="C35" s="21" t="s">
        <v>66</v>
      </c>
      <c r="D35" s="22" t="s">
        <v>67</v>
      </c>
      <c r="E35" s="22" t="s">
        <v>139</v>
      </c>
      <c r="F35" s="23" t="s">
        <v>68</v>
      </c>
      <c r="G35" s="22" t="s">
        <v>69</v>
      </c>
      <c r="H35" s="22" t="s">
        <v>70</v>
      </c>
      <c r="I35" s="22" t="s">
        <v>70</v>
      </c>
      <c r="J35" s="22" t="s">
        <v>70</v>
      </c>
      <c r="K35" s="22" t="s">
        <v>70</v>
      </c>
      <c r="L35" s="22" t="s">
        <v>67</v>
      </c>
      <c r="M35" s="81" t="s">
        <v>71</v>
      </c>
    </row>
    <row r="36" spans="3:13" ht="39.75" customHeight="1" x14ac:dyDescent="0.25">
      <c r="C36" s="21" t="s">
        <v>72</v>
      </c>
      <c r="D36" s="24">
        <f>ROUND(D5/12.5,-2)</f>
        <v>2100</v>
      </c>
      <c r="E36" s="24">
        <f t="shared" ref="E36:M36" si="15">ROUND(E5/12.5,-2)</f>
        <v>100</v>
      </c>
      <c r="F36" s="24">
        <f t="shared" si="15"/>
        <v>3600</v>
      </c>
      <c r="G36" s="24">
        <f t="shared" si="15"/>
        <v>600</v>
      </c>
      <c r="H36" s="24">
        <f t="shared" si="15"/>
        <v>1600</v>
      </c>
      <c r="I36" s="24">
        <f t="shared" si="15"/>
        <v>1600</v>
      </c>
      <c r="J36" s="24">
        <f t="shared" si="15"/>
        <v>1600</v>
      </c>
      <c r="K36" s="24">
        <f t="shared" si="15"/>
        <v>1600</v>
      </c>
      <c r="L36" s="24">
        <f t="shared" si="15"/>
        <v>800</v>
      </c>
      <c r="M36" s="98">
        <f t="shared" si="15"/>
        <v>600</v>
      </c>
    </row>
    <row r="37" spans="3:13" ht="192" customHeight="1" x14ac:dyDescent="0.25">
      <c r="C37" s="21" t="s">
        <v>73</v>
      </c>
      <c r="D37" s="22" t="s">
        <v>137</v>
      </c>
      <c r="E37" s="22" t="s">
        <v>136</v>
      </c>
      <c r="F37" s="22" t="s">
        <v>128</v>
      </c>
      <c r="G37" s="22" t="s">
        <v>126</v>
      </c>
      <c r="H37" s="22" t="s">
        <v>135</v>
      </c>
      <c r="I37" s="22" t="s">
        <v>134</v>
      </c>
      <c r="J37" s="22" t="s">
        <v>133</v>
      </c>
      <c r="K37" s="22" t="s">
        <v>132</v>
      </c>
      <c r="L37" s="22" t="s">
        <v>115</v>
      </c>
      <c r="M37" s="81" t="s">
        <v>122</v>
      </c>
    </row>
    <row r="38" spans="3:13" ht="195.75" customHeight="1" x14ac:dyDescent="0.25">
      <c r="C38" s="21" t="s">
        <v>74</v>
      </c>
      <c r="D38" s="22" t="s">
        <v>75</v>
      </c>
      <c r="E38" s="22" t="s">
        <v>76</v>
      </c>
      <c r="F38" s="22" t="s">
        <v>129</v>
      </c>
      <c r="G38" s="22" t="s">
        <v>130</v>
      </c>
      <c r="H38" s="22" t="s">
        <v>131</v>
      </c>
      <c r="I38" s="22" t="s">
        <v>77</v>
      </c>
      <c r="J38" s="22" t="s">
        <v>78</v>
      </c>
      <c r="K38" s="22" t="s">
        <v>79</v>
      </c>
      <c r="L38" s="22" t="s">
        <v>123</v>
      </c>
      <c r="M38" s="81" t="s">
        <v>80</v>
      </c>
    </row>
    <row r="39" spans="3:13" ht="53.25" customHeight="1" thickBot="1" x14ac:dyDescent="0.3">
      <c r="C39" s="25" t="s">
        <v>81</v>
      </c>
      <c r="D39" s="26" t="s">
        <v>124</v>
      </c>
      <c r="E39" s="26" t="s">
        <v>124</v>
      </c>
      <c r="F39" s="26" t="s">
        <v>125</v>
      </c>
      <c r="G39" s="26" t="s">
        <v>124</v>
      </c>
      <c r="H39" s="26" t="s">
        <v>125</v>
      </c>
      <c r="I39" s="26" t="s">
        <v>125</v>
      </c>
      <c r="J39" s="26" t="s">
        <v>124</v>
      </c>
      <c r="K39" s="26" t="s">
        <v>125</v>
      </c>
      <c r="L39" s="26" t="s">
        <v>125</v>
      </c>
      <c r="M39" s="99" t="s">
        <v>125</v>
      </c>
    </row>
    <row r="40" spans="3:13" x14ac:dyDescent="0.25"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3:13" x14ac:dyDescent="0.25">
      <c r="D41" s="27"/>
      <c r="E41" s="27"/>
      <c r="F41" s="27" t="s">
        <v>82</v>
      </c>
      <c r="G41" s="27"/>
      <c r="H41" s="27"/>
      <c r="I41" s="27"/>
      <c r="J41" s="27"/>
      <c r="K41" s="27"/>
      <c r="L41" s="27"/>
      <c r="M41" s="27"/>
    </row>
    <row r="42" spans="3:13" x14ac:dyDescent="0.25">
      <c r="D42" s="27"/>
      <c r="E42" s="27"/>
      <c r="F42" s="27"/>
      <c r="G42" s="27"/>
      <c r="H42" s="27"/>
      <c r="I42" s="27"/>
      <c r="J42" s="27"/>
      <c r="K42" s="27"/>
      <c r="L42" s="27"/>
      <c r="M42" s="27"/>
    </row>
    <row r="43" spans="3:13" x14ac:dyDescent="0.25">
      <c r="D43" s="27"/>
      <c r="E43" s="27"/>
      <c r="F43" s="27"/>
      <c r="G43" s="27"/>
      <c r="H43" s="27"/>
      <c r="I43" s="27"/>
      <c r="J43" s="27"/>
      <c r="K43" s="27"/>
      <c r="L43" s="27"/>
      <c r="M43" s="27"/>
    </row>
    <row r="44" spans="3:13" x14ac:dyDescent="0.25">
      <c r="D44" s="27"/>
      <c r="E44" s="27"/>
      <c r="F44" s="27"/>
      <c r="G44" s="27"/>
      <c r="H44" s="27"/>
      <c r="I44" s="27"/>
      <c r="J44" s="27"/>
      <c r="K44" s="27"/>
      <c r="L44" s="27"/>
      <c r="M44" s="27"/>
    </row>
    <row r="45" spans="3:13" x14ac:dyDescent="0.25"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3:13" x14ac:dyDescent="0.25">
      <c r="D46" s="27"/>
      <c r="E46" s="27"/>
      <c r="F46" s="27"/>
      <c r="G46" s="27"/>
      <c r="H46" s="27"/>
      <c r="I46" s="27"/>
      <c r="J46" s="27"/>
      <c r="K46" s="27"/>
      <c r="L46" s="27"/>
      <c r="M46" s="27"/>
    </row>
    <row r="47" spans="3:13" x14ac:dyDescent="0.25">
      <c r="D47" s="27"/>
      <c r="E47" s="27"/>
      <c r="F47" s="27"/>
      <c r="G47" s="27"/>
      <c r="H47" s="27"/>
      <c r="I47" s="27"/>
      <c r="J47" s="27"/>
      <c r="K47" s="27"/>
      <c r="L47" s="27"/>
      <c r="M47" s="27"/>
    </row>
    <row r="48" spans="3:13" x14ac:dyDescent="0.25">
      <c r="D48" s="27"/>
      <c r="E48" s="27"/>
      <c r="F48" s="27"/>
      <c r="G48" s="27"/>
      <c r="H48" s="27"/>
      <c r="I48" s="27"/>
      <c r="J48" s="27"/>
      <c r="K48" s="27"/>
      <c r="L48" s="27"/>
      <c r="M48" s="27"/>
    </row>
    <row r="49" spans="4:13" x14ac:dyDescent="0.25">
      <c r="D49" s="27"/>
      <c r="E49" s="27"/>
      <c r="F49" s="27"/>
      <c r="G49" s="27"/>
      <c r="H49" s="27"/>
      <c r="I49" s="27"/>
      <c r="J49" s="27"/>
      <c r="K49" s="27"/>
      <c r="L49" s="27"/>
      <c r="M49" s="27"/>
    </row>
    <row r="50" spans="4:13" x14ac:dyDescent="0.25"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4:13" x14ac:dyDescent="0.25">
      <c r="D51" s="27"/>
      <c r="E51" s="27"/>
      <c r="F51" s="27"/>
      <c r="G51" s="27"/>
      <c r="H51" s="27"/>
      <c r="I51" s="27"/>
      <c r="J51" s="27"/>
      <c r="K51" s="27"/>
      <c r="L51" s="27"/>
      <c r="M51" s="27"/>
    </row>
    <row r="52" spans="4:13" x14ac:dyDescent="0.25">
      <c r="D52" s="27"/>
      <c r="E52" s="27"/>
      <c r="F52" s="27"/>
      <c r="G52" s="27"/>
      <c r="H52" s="27"/>
      <c r="I52" s="27"/>
      <c r="J52" s="27"/>
      <c r="K52" s="27"/>
      <c r="L52" s="27"/>
      <c r="M52" s="27"/>
    </row>
    <row r="53" spans="4:13" x14ac:dyDescent="0.25">
      <c r="D53" s="27"/>
      <c r="E53" s="27"/>
      <c r="F53" s="27"/>
      <c r="G53" s="27"/>
      <c r="H53" s="27"/>
      <c r="I53" s="27"/>
      <c r="J53" s="27"/>
      <c r="K53" s="27"/>
      <c r="L53" s="27"/>
      <c r="M53" s="27"/>
    </row>
    <row r="54" spans="4:13" x14ac:dyDescent="0.25">
      <c r="D54" s="27"/>
      <c r="E54" s="27"/>
      <c r="F54" s="27"/>
      <c r="G54" s="27"/>
      <c r="H54" s="27"/>
      <c r="I54" s="27"/>
      <c r="J54" s="27"/>
      <c r="K54" s="27"/>
      <c r="L54" s="27"/>
      <c r="M54" s="27"/>
    </row>
    <row r="55" spans="4:13" x14ac:dyDescent="0.25">
      <c r="D55" s="27"/>
      <c r="E55" s="27"/>
      <c r="F55" s="27"/>
      <c r="G55" s="27"/>
      <c r="H55" s="27"/>
      <c r="I55" s="27"/>
      <c r="J55" s="27"/>
      <c r="K55" s="27"/>
      <c r="L55" s="27"/>
      <c r="M55" s="27"/>
    </row>
    <row r="56" spans="4:13" x14ac:dyDescent="0.25">
      <c r="D56" s="27"/>
      <c r="E56" s="27"/>
      <c r="F56" s="27"/>
      <c r="G56" s="27"/>
      <c r="H56" s="27"/>
      <c r="I56" s="27"/>
      <c r="J56" s="27"/>
      <c r="K56" s="27"/>
      <c r="L56" s="27"/>
      <c r="M56" s="27"/>
    </row>
    <row r="57" spans="4:13" x14ac:dyDescent="0.25">
      <c r="D57" s="27"/>
      <c r="E57" s="27"/>
      <c r="F57" s="27"/>
      <c r="G57" s="27"/>
      <c r="H57" s="27"/>
      <c r="I57" s="27"/>
      <c r="J57" s="27"/>
      <c r="K57" s="27"/>
      <c r="L57" s="27"/>
      <c r="M57" s="27"/>
    </row>
    <row r="58" spans="4:13" x14ac:dyDescent="0.25">
      <c r="D58" s="27"/>
      <c r="E58" s="27"/>
      <c r="F58" s="27"/>
      <c r="G58" s="27"/>
      <c r="H58" s="27"/>
      <c r="I58" s="27"/>
      <c r="J58" s="27"/>
      <c r="K58" s="27"/>
      <c r="L58" s="27"/>
      <c r="M58" s="27"/>
    </row>
    <row r="59" spans="4:13" x14ac:dyDescent="0.25">
      <c r="D59" s="27"/>
      <c r="E59" s="27"/>
      <c r="F59" s="27"/>
      <c r="G59" s="27"/>
      <c r="H59" s="27"/>
      <c r="I59" s="27"/>
      <c r="J59" s="27"/>
      <c r="K59" s="27"/>
      <c r="L59" s="27"/>
      <c r="M59" s="27"/>
    </row>
    <row r="60" spans="4:13" x14ac:dyDescent="0.25">
      <c r="D60" s="27"/>
      <c r="E60" s="27"/>
      <c r="F60" s="27"/>
      <c r="G60" s="27"/>
      <c r="H60" s="27"/>
      <c r="I60" s="27"/>
      <c r="J60" s="27"/>
      <c r="K60" s="27"/>
      <c r="L60" s="27"/>
      <c r="M60" s="27"/>
    </row>
    <row r="61" spans="4:13" x14ac:dyDescent="0.25">
      <c r="D61" s="27"/>
      <c r="E61" s="27"/>
      <c r="F61" s="27"/>
      <c r="G61" s="27"/>
      <c r="H61" s="27"/>
      <c r="I61" s="27"/>
      <c r="J61" s="27"/>
      <c r="K61" s="27"/>
      <c r="L61" s="27"/>
      <c r="M61" s="27"/>
    </row>
    <row r="62" spans="4:13" x14ac:dyDescent="0.25">
      <c r="D62" s="27"/>
      <c r="E62" s="27"/>
      <c r="F62" s="27"/>
      <c r="G62" s="27"/>
      <c r="H62" s="27"/>
      <c r="I62" s="27"/>
      <c r="J62" s="27"/>
      <c r="K62" s="27"/>
      <c r="L62" s="27"/>
      <c r="M62" s="27"/>
    </row>
    <row r="63" spans="4:13" x14ac:dyDescent="0.25">
      <c r="D63" s="27"/>
      <c r="E63" s="27"/>
      <c r="F63" s="27"/>
      <c r="G63" s="27"/>
      <c r="H63" s="27"/>
      <c r="I63" s="27"/>
      <c r="J63" s="27"/>
      <c r="K63" s="27"/>
      <c r="L63" s="27"/>
      <c r="M63" s="27"/>
    </row>
    <row r="64" spans="4:13" x14ac:dyDescent="0.25">
      <c r="D64" s="27"/>
      <c r="E64" s="27"/>
      <c r="F64" s="27"/>
      <c r="G64" s="27"/>
      <c r="H64" s="27"/>
      <c r="I64" s="27"/>
      <c r="J64" s="27"/>
      <c r="K64" s="27"/>
      <c r="L64" s="27"/>
      <c r="M64" s="27"/>
    </row>
    <row r="65" spans="4:13" x14ac:dyDescent="0.25">
      <c r="D65" s="27"/>
      <c r="E65" s="27"/>
      <c r="F65" s="27"/>
      <c r="G65" s="27"/>
      <c r="H65" s="27"/>
      <c r="I65" s="27"/>
      <c r="J65" s="27"/>
      <c r="K65" s="27"/>
      <c r="L65" s="27"/>
      <c r="M65" s="27"/>
    </row>
    <row r="66" spans="4:13" x14ac:dyDescent="0.25">
      <c r="D66" s="27"/>
      <c r="E66" s="27"/>
      <c r="F66" s="27"/>
      <c r="G66" s="27"/>
      <c r="H66" s="27"/>
      <c r="I66" s="27"/>
      <c r="J66" s="27"/>
      <c r="K66" s="27"/>
      <c r="L66" s="27"/>
      <c r="M66" s="27"/>
    </row>
    <row r="67" spans="4:13" x14ac:dyDescent="0.25">
      <c r="D67" s="27"/>
      <c r="E67" s="27"/>
      <c r="F67" s="27"/>
      <c r="G67" s="27"/>
      <c r="H67" s="27"/>
      <c r="I67" s="27"/>
      <c r="J67" s="27"/>
      <c r="K67" s="27"/>
      <c r="L67" s="27"/>
      <c r="M67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6503-65F8-411B-AC4A-75DEF291124D}">
  <dimension ref="A2:AA42"/>
  <sheetViews>
    <sheetView tabSelected="1" zoomScale="70" zoomScaleNormal="70" workbookViewId="0">
      <selection activeCell="A2" sqref="A2:XFD2"/>
    </sheetView>
  </sheetViews>
  <sheetFormatPr defaultRowHeight="13.5" x14ac:dyDescent="0.25"/>
  <cols>
    <col min="1" max="1" width="5" style="5" customWidth="1"/>
    <col min="2" max="2" width="13.5703125" style="5" customWidth="1"/>
    <col min="3" max="3" width="33.5703125" style="5" customWidth="1"/>
    <col min="4" max="4" width="17.140625" style="5" customWidth="1"/>
    <col min="5" max="5" width="20.5703125" style="5" customWidth="1"/>
    <col min="6" max="6" width="17.140625" style="5" customWidth="1"/>
    <col min="7" max="7" width="20.5703125" style="5" customWidth="1"/>
    <col min="8" max="8" width="17.140625" style="5" customWidth="1"/>
    <col min="9" max="9" width="20.5703125" style="5" customWidth="1"/>
    <col min="10" max="10" width="17.140625" style="5" customWidth="1"/>
    <col min="11" max="11" width="20.5703125" style="5" customWidth="1"/>
    <col min="12" max="12" width="17.140625" style="5" customWidth="1"/>
    <col min="13" max="13" width="20.5703125" style="5" customWidth="1"/>
    <col min="14" max="14" width="17.140625" style="5" customWidth="1"/>
    <col min="15" max="15" width="20.5703125" style="5" customWidth="1"/>
    <col min="16" max="16" width="17.140625" style="5" customWidth="1"/>
    <col min="17" max="17" width="20.5703125" style="5" customWidth="1"/>
    <col min="18" max="18" width="17.140625" style="5" customWidth="1"/>
    <col min="19" max="19" width="20.5703125" style="5" customWidth="1"/>
    <col min="20" max="20" width="17.140625" style="5" customWidth="1"/>
    <col min="21" max="21" width="20.5703125" style="5" customWidth="1"/>
    <col min="22" max="22" width="17.140625" style="5" customWidth="1"/>
    <col min="23" max="23" width="20.5703125" style="5" customWidth="1"/>
    <col min="24" max="26" width="9.140625" style="5"/>
    <col min="27" max="27" width="10.5703125" style="5" bestFit="1" customWidth="1"/>
    <col min="28" max="16384" width="9.140625" style="5"/>
  </cols>
  <sheetData>
    <row r="2" spans="1:27" ht="14.25" thickBot="1" x14ac:dyDescent="0.3"/>
    <row r="3" spans="1:27" ht="27.75" thickBot="1" x14ac:dyDescent="0.3">
      <c r="A3" s="49"/>
      <c r="B3" s="49"/>
      <c r="C3" s="90"/>
      <c r="D3" s="30" t="s">
        <v>3</v>
      </c>
      <c r="E3" s="34" t="s">
        <v>45</v>
      </c>
      <c r="F3" s="30" t="s">
        <v>4</v>
      </c>
      <c r="G3" s="34" t="s">
        <v>45</v>
      </c>
      <c r="H3" s="30" t="s">
        <v>5</v>
      </c>
      <c r="I3" s="34" t="s">
        <v>45</v>
      </c>
      <c r="J3" s="30" t="s">
        <v>6</v>
      </c>
      <c r="K3" s="34" t="s">
        <v>45</v>
      </c>
      <c r="L3" s="30" t="s">
        <v>7</v>
      </c>
      <c r="M3" s="34" t="s">
        <v>45</v>
      </c>
      <c r="N3" s="30" t="s">
        <v>8</v>
      </c>
      <c r="O3" s="34" t="s">
        <v>45</v>
      </c>
      <c r="P3" s="30" t="s">
        <v>9</v>
      </c>
      <c r="Q3" s="34" t="s">
        <v>45</v>
      </c>
      <c r="R3" s="30" t="s">
        <v>10</v>
      </c>
      <c r="S3" s="34" t="s">
        <v>45</v>
      </c>
      <c r="T3" s="30" t="s">
        <v>11</v>
      </c>
      <c r="U3" s="34" t="s">
        <v>45</v>
      </c>
      <c r="V3" s="30" t="s">
        <v>12</v>
      </c>
      <c r="W3" s="34" t="s">
        <v>45</v>
      </c>
    </row>
    <row r="4" spans="1:27" ht="18" customHeight="1" x14ac:dyDescent="0.25">
      <c r="A4" s="49"/>
      <c r="B4" s="49"/>
      <c r="C4" s="91" t="s">
        <v>121</v>
      </c>
      <c r="D4" s="50"/>
      <c r="E4" s="51"/>
      <c r="F4" s="50"/>
      <c r="G4" s="51"/>
      <c r="H4" s="50"/>
      <c r="I4" s="51"/>
      <c r="J4" s="50"/>
      <c r="K4" s="51"/>
      <c r="L4" s="50"/>
      <c r="M4" s="51"/>
      <c r="N4" s="50"/>
      <c r="O4" s="51"/>
      <c r="P4" s="50"/>
      <c r="Q4" s="51"/>
      <c r="R4" s="50"/>
      <c r="S4" s="51"/>
      <c r="T4" s="50"/>
      <c r="U4" s="51"/>
      <c r="V4" s="50"/>
      <c r="W4" s="51"/>
    </row>
    <row r="5" spans="1:27" ht="18" customHeight="1" x14ac:dyDescent="0.25">
      <c r="A5" s="83"/>
      <c r="C5" s="92" t="s">
        <v>0</v>
      </c>
      <c r="D5" s="32">
        <v>26009</v>
      </c>
      <c r="E5" s="35" t="s">
        <v>21</v>
      </c>
      <c r="F5" s="32">
        <v>1215</v>
      </c>
      <c r="G5" s="35" t="s">
        <v>21</v>
      </c>
      <c r="H5" s="32">
        <v>44919</v>
      </c>
      <c r="I5" s="35" t="s">
        <v>21</v>
      </c>
      <c r="J5" s="32">
        <v>8011</v>
      </c>
      <c r="K5" s="35" t="s">
        <v>21</v>
      </c>
      <c r="L5" s="32">
        <v>20044</v>
      </c>
      <c r="M5" s="35" t="s">
        <v>21</v>
      </c>
      <c r="N5" s="32">
        <v>20044</v>
      </c>
      <c r="O5" s="35" t="s">
        <v>21</v>
      </c>
      <c r="P5" s="32">
        <v>20044</v>
      </c>
      <c r="Q5" s="35" t="s">
        <v>21</v>
      </c>
      <c r="R5" s="32">
        <v>20044</v>
      </c>
      <c r="S5" s="35" t="s">
        <v>21</v>
      </c>
      <c r="T5" s="32">
        <v>9500</v>
      </c>
      <c r="U5" s="35" t="s">
        <v>21</v>
      </c>
      <c r="V5" s="32">
        <v>7500</v>
      </c>
      <c r="W5" s="35" t="s">
        <v>21</v>
      </c>
    </row>
    <row r="6" spans="1:27" ht="18" customHeight="1" x14ac:dyDescent="0.25">
      <c r="A6" s="84"/>
      <c r="C6" s="92" t="s">
        <v>107</v>
      </c>
      <c r="D6" s="33">
        <v>0.75</v>
      </c>
      <c r="E6" s="35" t="s">
        <v>106</v>
      </c>
      <c r="F6" s="33">
        <v>0.85</v>
      </c>
      <c r="G6" s="35" t="s">
        <v>106</v>
      </c>
      <c r="H6" s="33">
        <v>1</v>
      </c>
      <c r="I6" s="35" t="s">
        <v>22</v>
      </c>
      <c r="J6" s="33">
        <v>1</v>
      </c>
      <c r="K6" s="35" t="s">
        <v>22</v>
      </c>
      <c r="L6" s="33">
        <v>0.5</v>
      </c>
      <c r="M6" s="35" t="s">
        <v>22</v>
      </c>
      <c r="N6" s="33">
        <v>0.5</v>
      </c>
      <c r="O6" s="35" t="s">
        <v>22</v>
      </c>
      <c r="P6" s="33">
        <v>0.5</v>
      </c>
      <c r="Q6" s="35" t="s">
        <v>22</v>
      </c>
      <c r="R6" s="33">
        <v>0.5</v>
      </c>
      <c r="S6" s="35" t="s">
        <v>22</v>
      </c>
      <c r="T6" s="33">
        <v>0.52</v>
      </c>
      <c r="U6" s="35" t="s">
        <v>22</v>
      </c>
      <c r="V6" s="33">
        <v>0.98</v>
      </c>
      <c r="W6" s="35" t="s">
        <v>22</v>
      </c>
    </row>
    <row r="7" spans="1:27" ht="18" customHeight="1" x14ac:dyDescent="0.25">
      <c r="A7" s="83"/>
      <c r="C7" s="92" t="s">
        <v>15</v>
      </c>
      <c r="D7" s="32">
        <f>D5*D6</f>
        <v>19506.75</v>
      </c>
      <c r="E7" s="35" t="s">
        <v>21</v>
      </c>
      <c r="F7" s="32">
        <f>F5*F6</f>
        <v>1032.75</v>
      </c>
      <c r="G7" s="35" t="s">
        <v>21</v>
      </c>
      <c r="H7" s="32">
        <f>H5*(H6)</f>
        <v>44919</v>
      </c>
      <c r="I7" s="35" t="s">
        <v>21</v>
      </c>
      <c r="J7" s="32">
        <f>J5*(J6)</f>
        <v>8011</v>
      </c>
      <c r="K7" s="35" t="s">
        <v>21</v>
      </c>
      <c r="L7" s="32">
        <f>L5*(1-L6)</f>
        <v>10022</v>
      </c>
      <c r="M7" s="35" t="s">
        <v>21</v>
      </c>
      <c r="N7" s="32">
        <f>N5*(1-N6)</f>
        <v>10022</v>
      </c>
      <c r="O7" s="35" t="s">
        <v>21</v>
      </c>
      <c r="P7" s="32">
        <f>P5*(1-P6)</f>
        <v>10022</v>
      </c>
      <c r="Q7" s="35" t="s">
        <v>21</v>
      </c>
      <c r="R7" s="32">
        <f>R5*(1-R6)</f>
        <v>10022</v>
      </c>
      <c r="S7" s="35" t="s">
        <v>21</v>
      </c>
      <c r="T7" s="32">
        <f>T5*(T6)</f>
        <v>4940</v>
      </c>
      <c r="U7" s="35" t="s">
        <v>21</v>
      </c>
      <c r="V7" s="32">
        <f>V5*V6</f>
        <v>7350</v>
      </c>
      <c r="W7" s="35" t="s">
        <v>21</v>
      </c>
    </row>
    <row r="8" spans="1:27" ht="18" customHeight="1" x14ac:dyDescent="0.25">
      <c r="A8" s="85"/>
      <c r="C8" s="92" t="s">
        <v>108</v>
      </c>
      <c r="D8" s="38">
        <v>226.3</v>
      </c>
      <c r="E8" s="35" t="s">
        <v>17</v>
      </c>
      <c r="F8" s="38">
        <v>0.95</v>
      </c>
      <c r="G8" s="35" t="s">
        <v>101</v>
      </c>
      <c r="H8" s="38">
        <v>1.25</v>
      </c>
      <c r="I8" s="35" t="s">
        <v>89</v>
      </c>
      <c r="J8" s="38">
        <v>22.8</v>
      </c>
      <c r="K8" s="35" t="s">
        <v>92</v>
      </c>
      <c r="L8" s="38">
        <v>0.57472500000000004</v>
      </c>
      <c r="M8" s="35" t="s">
        <v>94</v>
      </c>
      <c r="N8" s="38">
        <v>0.57472500000000004</v>
      </c>
      <c r="O8" s="35" t="s">
        <v>94</v>
      </c>
      <c r="P8" s="38">
        <v>0.57472500000000004</v>
      </c>
      <c r="Q8" s="35" t="s">
        <v>94</v>
      </c>
      <c r="R8" s="38">
        <v>0.57472500000000004</v>
      </c>
      <c r="S8" s="35" t="s">
        <v>94</v>
      </c>
      <c r="T8" s="38">
        <v>0.52</v>
      </c>
      <c r="U8" s="35" t="s">
        <v>101</v>
      </c>
      <c r="V8" s="38">
        <v>1.0537634408602152</v>
      </c>
      <c r="W8" s="35" t="s">
        <v>109</v>
      </c>
    </row>
    <row r="9" spans="1:27" ht="18" customHeight="1" x14ac:dyDescent="0.25">
      <c r="A9" s="83"/>
      <c r="C9" s="92" t="s">
        <v>16</v>
      </c>
      <c r="D9" s="32">
        <f>D7*D8</f>
        <v>4414377.5250000004</v>
      </c>
      <c r="E9" s="35" t="s">
        <v>110</v>
      </c>
      <c r="F9" s="32">
        <f>F7</f>
        <v>1032.75</v>
      </c>
      <c r="G9" s="35" t="s">
        <v>2</v>
      </c>
      <c r="H9" s="32">
        <f>H7/H8</f>
        <v>35935.199999999997</v>
      </c>
      <c r="I9" s="35" t="s">
        <v>35</v>
      </c>
      <c r="J9" s="32">
        <f>J7*J8</f>
        <v>182650.80000000002</v>
      </c>
      <c r="K9" s="35" t="s">
        <v>96</v>
      </c>
      <c r="L9" s="32">
        <f>L5*L8</f>
        <v>11519.787900000001</v>
      </c>
      <c r="M9" s="35" t="s">
        <v>95</v>
      </c>
      <c r="N9" s="32">
        <f>N5*N8</f>
        <v>11519.787900000001</v>
      </c>
      <c r="O9" s="35" t="s">
        <v>95</v>
      </c>
      <c r="P9" s="32">
        <f>P5*P8</f>
        <v>11519.787900000001</v>
      </c>
      <c r="Q9" s="35" t="s">
        <v>95</v>
      </c>
      <c r="R9" s="32">
        <f>R5*R8</f>
        <v>11519.787900000001</v>
      </c>
      <c r="S9" s="35" t="s">
        <v>95</v>
      </c>
      <c r="T9" s="32">
        <f>T7</f>
        <v>4940</v>
      </c>
      <c r="U9" s="35" t="s">
        <v>21</v>
      </c>
      <c r="V9" s="32">
        <f>V5*V8</f>
        <v>7903.2258064516145</v>
      </c>
      <c r="W9" s="35" t="s">
        <v>103</v>
      </c>
    </row>
    <row r="10" spans="1:27" ht="18" customHeight="1" x14ac:dyDescent="0.25">
      <c r="A10" s="83"/>
      <c r="C10" s="92"/>
      <c r="D10" s="32"/>
      <c r="E10" s="35"/>
      <c r="F10" s="32"/>
      <c r="G10" s="35"/>
      <c r="H10" s="32"/>
      <c r="I10" s="35"/>
      <c r="J10" s="32"/>
      <c r="K10" s="35"/>
      <c r="L10" s="32"/>
      <c r="M10" s="35"/>
      <c r="N10" s="32"/>
      <c r="O10" s="35"/>
      <c r="P10" s="32"/>
      <c r="Q10" s="35"/>
      <c r="R10" s="32"/>
      <c r="S10" s="35"/>
      <c r="T10" s="32"/>
      <c r="U10" s="35"/>
      <c r="V10" s="32"/>
      <c r="W10" s="35"/>
    </row>
    <row r="11" spans="1:27" ht="18" customHeight="1" x14ac:dyDescent="0.25">
      <c r="C11" s="93" t="s">
        <v>111</v>
      </c>
      <c r="D11" s="52"/>
      <c r="E11" s="53"/>
      <c r="F11" s="52"/>
      <c r="G11" s="53"/>
      <c r="H11" s="52"/>
      <c r="I11" s="53"/>
      <c r="J11" s="52"/>
      <c r="K11" s="53"/>
      <c r="L11" s="52"/>
      <c r="M11" s="53"/>
      <c r="N11" s="52"/>
      <c r="O11" s="53"/>
      <c r="P11" s="52"/>
      <c r="Q11" s="53"/>
      <c r="R11" s="52"/>
      <c r="S11" s="53"/>
      <c r="T11" s="52"/>
      <c r="U11" s="53"/>
      <c r="V11" s="52"/>
      <c r="W11" s="53"/>
    </row>
    <row r="12" spans="1:27" ht="18" customHeight="1" x14ac:dyDescent="0.25">
      <c r="A12" s="86"/>
      <c r="C12" s="92" t="s">
        <v>18</v>
      </c>
      <c r="D12" s="39">
        <v>5.67</v>
      </c>
      <c r="E12" s="35" t="s">
        <v>19</v>
      </c>
      <c r="F12" s="43">
        <v>0.70989473684210525</v>
      </c>
      <c r="G12" s="35" t="s">
        <v>84</v>
      </c>
      <c r="H12" s="39">
        <v>200</v>
      </c>
      <c r="I12" s="35" t="s">
        <v>36</v>
      </c>
      <c r="J12" s="39">
        <v>20</v>
      </c>
      <c r="K12" s="35" t="s">
        <v>93</v>
      </c>
      <c r="L12" s="39">
        <v>502.01</v>
      </c>
      <c r="M12" s="35" t="s">
        <v>97</v>
      </c>
      <c r="N12" s="39">
        <v>547.98</v>
      </c>
      <c r="O12" s="35" t="s">
        <v>97</v>
      </c>
      <c r="P12" s="39">
        <v>545.34</v>
      </c>
      <c r="Q12" s="35" t="s">
        <v>97</v>
      </c>
      <c r="R12" s="39">
        <v>444.62</v>
      </c>
      <c r="S12" s="35" t="s">
        <v>97</v>
      </c>
      <c r="T12" s="39">
        <v>592.10526315789468</v>
      </c>
      <c r="U12" s="35" t="s">
        <v>26</v>
      </c>
      <c r="V12" s="39">
        <v>222</v>
      </c>
      <c r="W12" s="35" t="s">
        <v>26</v>
      </c>
    </row>
    <row r="13" spans="1:27" ht="18" customHeight="1" x14ac:dyDescent="0.25">
      <c r="A13" s="87"/>
      <c r="C13" s="92" t="s">
        <v>18</v>
      </c>
      <c r="D13" s="39">
        <f>D9*D12</f>
        <v>25029520.566750001</v>
      </c>
      <c r="E13" s="35" t="s">
        <v>20</v>
      </c>
      <c r="F13" s="39">
        <f>F7*F12*2000</f>
        <v>1466287.5789473683</v>
      </c>
      <c r="G13" s="35" t="s">
        <v>20</v>
      </c>
      <c r="H13" s="39">
        <f>H9*H12</f>
        <v>7187039.9999999991</v>
      </c>
      <c r="I13" s="35" t="s">
        <v>20</v>
      </c>
      <c r="J13" s="39">
        <f>J9*J12</f>
        <v>3653016.0000000005</v>
      </c>
      <c r="K13" s="35" t="s">
        <v>20</v>
      </c>
      <c r="L13" s="39">
        <f>L9*L12</f>
        <v>5783048.7236790005</v>
      </c>
      <c r="M13" s="35" t="s">
        <v>98</v>
      </c>
      <c r="N13" s="39">
        <f>N9*N12</f>
        <v>6312613.3734420007</v>
      </c>
      <c r="O13" s="35" t="s">
        <v>98</v>
      </c>
      <c r="P13" s="39">
        <f>P9*P12</f>
        <v>6282201.133386001</v>
      </c>
      <c r="Q13" s="35" t="s">
        <v>98</v>
      </c>
      <c r="R13" s="39">
        <f>R9*R12</f>
        <v>5121928.0960980002</v>
      </c>
      <c r="S13" s="35" t="s">
        <v>98</v>
      </c>
      <c r="T13" s="39">
        <f>T9*T12</f>
        <v>2924999.9999999995</v>
      </c>
      <c r="U13" s="35" t="s">
        <v>20</v>
      </c>
      <c r="V13" s="39">
        <f>V7*V12</f>
        <v>1631700</v>
      </c>
      <c r="W13" s="35" t="s">
        <v>20</v>
      </c>
    </row>
    <row r="14" spans="1:27" ht="18" customHeight="1" x14ac:dyDescent="0.25">
      <c r="A14" s="88"/>
      <c r="C14" s="92" t="s">
        <v>18</v>
      </c>
      <c r="D14" s="45"/>
      <c r="E14" s="46"/>
      <c r="F14" s="45"/>
      <c r="G14" s="46"/>
      <c r="H14" s="40">
        <v>285000</v>
      </c>
      <c r="I14" s="35" t="s">
        <v>90</v>
      </c>
      <c r="J14" s="45"/>
      <c r="K14" s="46"/>
      <c r="L14" s="40">
        <v>10.14</v>
      </c>
      <c r="M14" s="35" t="s">
        <v>97</v>
      </c>
      <c r="N14" s="40">
        <v>10.14</v>
      </c>
      <c r="O14" s="35" t="s">
        <v>97</v>
      </c>
      <c r="P14" s="40">
        <v>10.14</v>
      </c>
      <c r="Q14" s="35" t="s">
        <v>97</v>
      </c>
      <c r="R14" s="32">
        <v>249960</v>
      </c>
      <c r="S14" s="35" t="s">
        <v>116</v>
      </c>
      <c r="T14" s="40">
        <f>T5-T7</f>
        <v>4560</v>
      </c>
      <c r="U14" s="35" t="s">
        <v>102</v>
      </c>
      <c r="V14" s="45"/>
      <c r="W14" s="46"/>
    </row>
    <row r="15" spans="1:27" ht="18" customHeight="1" x14ac:dyDescent="0.25">
      <c r="A15" s="87"/>
      <c r="B15" s="31"/>
      <c r="C15" s="92" t="s">
        <v>18</v>
      </c>
      <c r="D15" s="47"/>
      <c r="E15" s="48"/>
      <c r="F15" s="47"/>
      <c r="G15" s="48"/>
      <c r="H15" s="47"/>
      <c r="I15" s="48"/>
      <c r="J15" s="47"/>
      <c r="K15" s="48"/>
      <c r="L15" s="41">
        <f>L9*L14</f>
        <v>116810.64930600002</v>
      </c>
      <c r="M15" s="36" t="s">
        <v>99</v>
      </c>
      <c r="N15" s="41">
        <f>N9*N14</f>
        <v>116810.64930600002</v>
      </c>
      <c r="O15" s="36" t="s">
        <v>99</v>
      </c>
      <c r="P15" s="41">
        <f>P9*P14</f>
        <v>116810.64930600002</v>
      </c>
      <c r="Q15" s="36" t="s">
        <v>99</v>
      </c>
      <c r="R15" s="74">
        <v>12.77</v>
      </c>
      <c r="S15" s="36" t="s">
        <v>117</v>
      </c>
      <c r="T15" s="41">
        <f>T14*6.5789474</f>
        <v>30000.000143999998</v>
      </c>
      <c r="U15" s="36" t="s">
        <v>127</v>
      </c>
      <c r="V15" s="47"/>
      <c r="W15" s="48"/>
      <c r="AA15" s="28"/>
    </row>
    <row r="16" spans="1:27" ht="18" customHeight="1" x14ac:dyDescent="0.25">
      <c r="A16" s="87"/>
      <c r="B16" s="31"/>
      <c r="C16" s="92"/>
      <c r="D16" s="47"/>
      <c r="E16" s="48"/>
      <c r="F16" s="47"/>
      <c r="G16" s="48"/>
      <c r="H16" s="47"/>
      <c r="I16" s="48"/>
      <c r="J16" s="47"/>
      <c r="K16" s="48"/>
      <c r="L16" s="47"/>
      <c r="M16" s="48"/>
      <c r="N16" s="47"/>
      <c r="O16" s="48"/>
      <c r="P16" s="47"/>
      <c r="Q16" s="48"/>
      <c r="R16" s="41">
        <f>R14*R15</f>
        <v>3191989.1999999997</v>
      </c>
      <c r="S16" s="36" t="s">
        <v>118</v>
      </c>
      <c r="T16" s="47"/>
      <c r="U16" s="48"/>
      <c r="V16" s="47"/>
      <c r="W16" s="48"/>
      <c r="AA16" s="28"/>
    </row>
    <row r="17" spans="1:27" ht="18" customHeight="1" x14ac:dyDescent="0.25">
      <c r="A17" s="87"/>
      <c r="B17" s="31"/>
      <c r="C17" s="92"/>
      <c r="D17" s="47"/>
      <c r="E17" s="48"/>
      <c r="F17" s="47"/>
      <c r="G17" s="48"/>
      <c r="H17" s="47"/>
      <c r="I17" s="48"/>
      <c r="J17" s="47"/>
      <c r="K17" s="48"/>
      <c r="L17" s="47"/>
      <c r="M17" s="48"/>
      <c r="N17" s="47"/>
      <c r="O17" s="48"/>
      <c r="P17" s="47"/>
      <c r="Q17" s="48"/>
      <c r="R17" s="40">
        <v>10.14</v>
      </c>
      <c r="S17" s="36" t="s">
        <v>97</v>
      </c>
      <c r="T17" s="47"/>
      <c r="U17" s="48"/>
      <c r="V17" s="47"/>
      <c r="W17" s="48"/>
      <c r="AA17" s="28"/>
    </row>
    <row r="18" spans="1:27" ht="18" customHeight="1" x14ac:dyDescent="0.25">
      <c r="A18" s="87"/>
      <c r="B18" s="31"/>
      <c r="C18" s="92"/>
      <c r="D18" s="47"/>
      <c r="E18" s="48"/>
      <c r="F18" s="47"/>
      <c r="G18" s="48"/>
      <c r="H18" s="47"/>
      <c r="I18" s="48"/>
      <c r="J18" s="47"/>
      <c r="K18" s="48"/>
      <c r="L18" s="47"/>
      <c r="M18" s="48"/>
      <c r="N18" s="47"/>
      <c r="O18" s="48"/>
      <c r="P18" s="47"/>
      <c r="Q18" s="48"/>
      <c r="R18" s="41">
        <f>R9*R17</f>
        <v>116810.64930600002</v>
      </c>
      <c r="S18" s="36" t="s">
        <v>99</v>
      </c>
      <c r="T18" s="47"/>
      <c r="U18" s="48"/>
      <c r="V18" s="47"/>
      <c r="W18" s="48"/>
      <c r="AA18" s="28"/>
    </row>
    <row r="19" spans="1:27" ht="18" customHeight="1" x14ac:dyDescent="0.25">
      <c r="A19" s="87"/>
      <c r="C19" s="92" t="s">
        <v>91</v>
      </c>
      <c r="D19" s="39">
        <f>D15+D13</f>
        <v>25029520.566750001</v>
      </c>
      <c r="E19" s="35" t="s">
        <v>100</v>
      </c>
      <c r="F19" s="39">
        <f>F15+F13</f>
        <v>1466287.5789473683</v>
      </c>
      <c r="G19" s="35" t="s">
        <v>100</v>
      </c>
      <c r="H19" s="39">
        <f>H14+H13</f>
        <v>7472039.9999999991</v>
      </c>
      <c r="I19" s="35" t="s">
        <v>100</v>
      </c>
      <c r="J19" s="39">
        <f>J15+J13</f>
        <v>3653016.0000000005</v>
      </c>
      <c r="K19" s="35" t="s">
        <v>100</v>
      </c>
      <c r="L19" s="39">
        <f>L15+L13</f>
        <v>5899859.3729850007</v>
      </c>
      <c r="M19" s="35" t="s">
        <v>100</v>
      </c>
      <c r="N19" s="39">
        <f>N15+N13</f>
        <v>6429424.0227480009</v>
      </c>
      <c r="O19" s="35" t="s">
        <v>100</v>
      </c>
      <c r="P19" s="39">
        <f>P15+P13</f>
        <v>6399011.7826920012</v>
      </c>
      <c r="Q19" s="35" t="s">
        <v>100</v>
      </c>
      <c r="R19" s="39">
        <f>R13+R16+R18</f>
        <v>8430727.9454039987</v>
      </c>
      <c r="S19" s="35" t="s">
        <v>100</v>
      </c>
      <c r="T19" s="39">
        <f>T13+T15</f>
        <v>2955000.0001439997</v>
      </c>
      <c r="U19" s="35" t="s">
        <v>100</v>
      </c>
      <c r="V19" s="39">
        <f>V13</f>
        <v>1631700</v>
      </c>
      <c r="W19" s="35" t="s">
        <v>100</v>
      </c>
    </row>
    <row r="20" spans="1:27" ht="18" customHeight="1" x14ac:dyDescent="0.25">
      <c r="A20" s="87"/>
      <c r="C20" s="92" t="s">
        <v>91</v>
      </c>
      <c r="D20" s="39">
        <f>D13/D5</f>
        <v>962.34075000000007</v>
      </c>
      <c r="E20" s="35" t="s">
        <v>26</v>
      </c>
      <c r="F20" s="39">
        <f>F13/F5</f>
        <v>1206.8210526315788</v>
      </c>
      <c r="G20" s="35" t="s">
        <v>26</v>
      </c>
      <c r="H20" s="39">
        <f>H19/H5</f>
        <v>166.34475389033591</v>
      </c>
      <c r="I20" s="35" t="s">
        <v>26</v>
      </c>
      <c r="J20" s="39">
        <f>J13/J5</f>
        <v>456.00000000000006</v>
      </c>
      <c r="K20" s="35" t="s">
        <v>26</v>
      </c>
      <c r="L20" s="39">
        <f>L13/L5</f>
        <v>288.51769725000003</v>
      </c>
      <c r="M20" s="35" t="s">
        <v>26</v>
      </c>
      <c r="N20" s="39">
        <f>N19/N5</f>
        <v>320.76551700000005</v>
      </c>
      <c r="O20" s="35" t="s">
        <v>26</v>
      </c>
      <c r="P20" s="39">
        <f>P19/P5</f>
        <v>319.24824300000006</v>
      </c>
      <c r="Q20" s="35" t="s">
        <v>26</v>
      </c>
      <c r="R20" s="39">
        <f>R19/R5</f>
        <v>420.6110529537018</v>
      </c>
      <c r="S20" s="35" t="s">
        <v>26</v>
      </c>
      <c r="T20" s="39">
        <f>T19/T5</f>
        <v>311.05263159410521</v>
      </c>
      <c r="U20" s="35" t="s">
        <v>26</v>
      </c>
      <c r="V20" s="39">
        <f>V19/V7</f>
        <v>222</v>
      </c>
      <c r="W20" s="35" t="s">
        <v>26</v>
      </c>
    </row>
    <row r="21" spans="1:27" ht="18" customHeight="1" x14ac:dyDescent="0.25">
      <c r="A21" s="87"/>
      <c r="C21" s="92"/>
      <c r="D21" s="39"/>
      <c r="E21" s="35"/>
      <c r="F21" s="39"/>
      <c r="G21" s="35"/>
      <c r="H21" s="39"/>
      <c r="I21" s="35"/>
      <c r="J21" s="39"/>
      <c r="K21" s="35"/>
      <c r="L21" s="39"/>
      <c r="M21" s="35"/>
      <c r="N21" s="39"/>
      <c r="O21" s="35"/>
      <c r="P21" s="39"/>
      <c r="Q21" s="35"/>
      <c r="R21" s="39"/>
      <c r="S21" s="35"/>
      <c r="T21" s="39"/>
      <c r="U21" s="35"/>
      <c r="V21" s="39"/>
      <c r="W21" s="35"/>
    </row>
    <row r="22" spans="1:27" ht="18" customHeight="1" x14ac:dyDescent="0.25">
      <c r="C22" s="93" t="s">
        <v>112</v>
      </c>
      <c r="D22" s="52"/>
      <c r="E22" s="53"/>
      <c r="F22" s="52"/>
      <c r="G22" s="53"/>
      <c r="H22" s="52"/>
      <c r="I22" s="53"/>
      <c r="J22" s="52"/>
      <c r="K22" s="53"/>
      <c r="L22" s="52"/>
      <c r="M22" s="53"/>
      <c r="N22" s="52"/>
      <c r="O22" s="53"/>
      <c r="P22" s="52"/>
      <c r="Q22" s="53"/>
      <c r="R22" s="52"/>
      <c r="S22" s="53"/>
      <c r="T22" s="52"/>
      <c r="U22" s="53"/>
      <c r="V22" s="52"/>
      <c r="W22" s="53"/>
    </row>
    <row r="23" spans="1:27" ht="18" customHeight="1" x14ac:dyDescent="0.25">
      <c r="A23" s="87"/>
      <c r="C23" s="92" t="s">
        <v>27</v>
      </c>
      <c r="D23" s="39">
        <v>45000000</v>
      </c>
      <c r="E23" s="35" t="s">
        <v>28</v>
      </c>
      <c r="F23" s="39">
        <v>750000</v>
      </c>
      <c r="G23" s="35" t="s">
        <v>28</v>
      </c>
      <c r="H23" s="39">
        <v>37500000</v>
      </c>
      <c r="I23" s="35" t="s">
        <v>28</v>
      </c>
      <c r="J23" s="39">
        <v>3650000</v>
      </c>
      <c r="K23" s="35" t="s">
        <v>28</v>
      </c>
      <c r="L23" s="39">
        <v>24450000</v>
      </c>
      <c r="M23" s="35" t="s">
        <v>28</v>
      </c>
      <c r="N23" s="39">
        <v>24450000</v>
      </c>
      <c r="O23" s="35" t="s">
        <v>28</v>
      </c>
      <c r="P23" s="39">
        <v>25450000</v>
      </c>
      <c r="Q23" s="35" t="s">
        <v>28</v>
      </c>
      <c r="R23" s="39">
        <v>25550000</v>
      </c>
      <c r="S23" s="35" t="s">
        <v>28</v>
      </c>
      <c r="T23" s="39">
        <v>2000000</v>
      </c>
      <c r="U23" s="35" t="s">
        <v>28</v>
      </c>
      <c r="V23" s="39">
        <v>2500000</v>
      </c>
      <c r="W23" s="35" t="s">
        <v>28</v>
      </c>
    </row>
    <row r="24" spans="1:27" ht="18" customHeight="1" x14ac:dyDescent="0.25">
      <c r="C24" s="92" t="s">
        <v>29</v>
      </c>
      <c r="D24" s="42">
        <v>15</v>
      </c>
      <c r="E24" s="35" t="s">
        <v>30</v>
      </c>
      <c r="F24" s="42">
        <v>15</v>
      </c>
      <c r="G24" s="35" t="s">
        <v>30</v>
      </c>
      <c r="H24" s="42">
        <v>15</v>
      </c>
      <c r="I24" s="35" t="s">
        <v>30</v>
      </c>
      <c r="J24" s="42">
        <v>15</v>
      </c>
      <c r="K24" s="35" t="s">
        <v>30</v>
      </c>
      <c r="L24" s="42">
        <v>15</v>
      </c>
      <c r="M24" s="35" t="s">
        <v>30</v>
      </c>
      <c r="N24" s="42">
        <v>15</v>
      </c>
      <c r="O24" s="35" t="s">
        <v>30</v>
      </c>
      <c r="P24" s="42">
        <v>15</v>
      </c>
      <c r="Q24" s="35" t="s">
        <v>30</v>
      </c>
      <c r="R24" s="42">
        <v>15</v>
      </c>
      <c r="S24" s="35" t="s">
        <v>30</v>
      </c>
      <c r="T24" s="42">
        <v>15</v>
      </c>
      <c r="U24" s="35" t="s">
        <v>30</v>
      </c>
      <c r="V24" s="42">
        <v>15</v>
      </c>
      <c r="W24" s="35" t="s">
        <v>30</v>
      </c>
    </row>
    <row r="25" spans="1:27" ht="18" customHeight="1" x14ac:dyDescent="0.25">
      <c r="A25" s="89"/>
      <c r="C25" s="92" t="s">
        <v>31</v>
      </c>
      <c r="D25" s="39">
        <f>D23/D24</f>
        <v>3000000</v>
      </c>
      <c r="E25" s="35" t="s">
        <v>20</v>
      </c>
      <c r="F25" s="39">
        <f>F23/F24</f>
        <v>50000</v>
      </c>
      <c r="G25" s="35" t="s">
        <v>20</v>
      </c>
      <c r="H25" s="39">
        <f>H23/H24</f>
        <v>2500000</v>
      </c>
      <c r="I25" s="35" t="s">
        <v>20</v>
      </c>
      <c r="J25" s="39">
        <f>J23/J24</f>
        <v>243333.33333333334</v>
      </c>
      <c r="K25" s="35" t="s">
        <v>20</v>
      </c>
      <c r="L25" s="39">
        <f>L23/L24</f>
        <v>1630000</v>
      </c>
      <c r="M25" s="35" t="s">
        <v>20</v>
      </c>
      <c r="N25" s="39">
        <f>N23/N24</f>
        <v>1630000</v>
      </c>
      <c r="O25" s="35" t="s">
        <v>20</v>
      </c>
      <c r="P25" s="39">
        <f>P23/P24</f>
        <v>1696666.6666666667</v>
      </c>
      <c r="Q25" s="35" t="s">
        <v>20</v>
      </c>
      <c r="R25" s="39">
        <f>R23/R24</f>
        <v>1703333.3333333333</v>
      </c>
      <c r="S25" s="35" t="s">
        <v>20</v>
      </c>
      <c r="T25" s="39">
        <f>T23/T24</f>
        <v>133333.33333333334</v>
      </c>
      <c r="U25" s="35" t="s">
        <v>20</v>
      </c>
      <c r="V25" s="39">
        <f>V23/V24</f>
        <v>166666.66666666666</v>
      </c>
      <c r="W25" s="35" t="s">
        <v>20</v>
      </c>
    </row>
    <row r="26" spans="1:27" ht="18" customHeight="1" x14ac:dyDescent="0.25">
      <c r="A26" s="89"/>
      <c r="C26" s="92" t="s">
        <v>32</v>
      </c>
      <c r="D26" s="43">
        <f>D25/D5</f>
        <v>115.34468837710024</v>
      </c>
      <c r="E26" s="35" t="s">
        <v>26</v>
      </c>
      <c r="F26" s="43">
        <f>F25/F5</f>
        <v>41.152263374485599</v>
      </c>
      <c r="G26" s="35" t="s">
        <v>26</v>
      </c>
      <c r="H26" s="43">
        <f>H25/H5</f>
        <v>55.655735880139808</v>
      </c>
      <c r="I26" s="35" t="s">
        <v>26</v>
      </c>
      <c r="J26" s="43">
        <f>J25/J5</f>
        <v>30.374901177547539</v>
      </c>
      <c r="K26" s="35" t="s">
        <v>26</v>
      </c>
      <c r="L26" s="43">
        <f>L25/L5</f>
        <v>81.321093594093</v>
      </c>
      <c r="M26" s="35" t="s">
        <v>26</v>
      </c>
      <c r="N26" s="43">
        <f>N25/N5</f>
        <v>81.321093594093</v>
      </c>
      <c r="O26" s="35" t="s">
        <v>26</v>
      </c>
      <c r="P26" s="43">
        <f>P25/P5</f>
        <v>84.647109692010915</v>
      </c>
      <c r="Q26" s="35" t="s">
        <v>26</v>
      </c>
      <c r="R26" s="43">
        <f>R25/R5</f>
        <v>84.979711301802695</v>
      </c>
      <c r="S26" s="35" t="s">
        <v>26</v>
      </c>
      <c r="T26" s="43">
        <f>T25/T5</f>
        <v>14.035087719298247</v>
      </c>
      <c r="U26" s="35" t="s">
        <v>26</v>
      </c>
      <c r="V26" s="43">
        <f>V25/V5</f>
        <v>22.222222222222221</v>
      </c>
      <c r="W26" s="35" t="s">
        <v>26</v>
      </c>
    </row>
    <row r="27" spans="1:27" ht="18" customHeight="1" x14ac:dyDescent="0.25">
      <c r="C27" s="92" t="s">
        <v>85</v>
      </c>
      <c r="D27" s="42">
        <v>3</v>
      </c>
      <c r="E27" s="35" t="s">
        <v>86</v>
      </c>
      <c r="F27" s="42">
        <v>3</v>
      </c>
      <c r="G27" s="35" t="s">
        <v>86</v>
      </c>
      <c r="H27" s="42">
        <v>3</v>
      </c>
      <c r="I27" s="35" t="s">
        <v>86</v>
      </c>
      <c r="J27" s="42">
        <v>3</v>
      </c>
      <c r="K27" s="35" t="s">
        <v>86</v>
      </c>
      <c r="L27" s="42">
        <v>1</v>
      </c>
      <c r="M27" s="35" t="s">
        <v>86</v>
      </c>
      <c r="N27" s="42">
        <v>1</v>
      </c>
      <c r="O27" s="35" t="s">
        <v>86</v>
      </c>
      <c r="P27" s="42">
        <v>1</v>
      </c>
      <c r="Q27" s="35" t="s">
        <v>86</v>
      </c>
      <c r="R27" s="42">
        <v>1</v>
      </c>
      <c r="S27" s="35" t="s">
        <v>86</v>
      </c>
      <c r="T27" s="42">
        <v>1</v>
      </c>
      <c r="U27" s="35" t="s">
        <v>86</v>
      </c>
      <c r="V27" s="42">
        <v>1</v>
      </c>
      <c r="W27" s="35" t="s">
        <v>86</v>
      </c>
    </row>
    <row r="28" spans="1:27" ht="18" customHeight="1" x14ac:dyDescent="0.25">
      <c r="C28" s="92" t="s">
        <v>23</v>
      </c>
      <c r="D28" s="42">
        <v>17</v>
      </c>
      <c r="E28" s="35" t="s">
        <v>87</v>
      </c>
      <c r="F28" s="42">
        <v>3.66</v>
      </c>
      <c r="G28" s="35" t="s">
        <v>87</v>
      </c>
      <c r="H28" s="42">
        <v>3</v>
      </c>
      <c r="I28" s="35" t="s">
        <v>87</v>
      </c>
      <c r="J28" s="42">
        <v>5</v>
      </c>
      <c r="K28" s="35" t="s">
        <v>87</v>
      </c>
      <c r="L28" s="42">
        <v>27</v>
      </c>
      <c r="M28" s="35" t="s">
        <v>87</v>
      </c>
      <c r="N28" s="42">
        <v>27</v>
      </c>
      <c r="O28" s="35" t="s">
        <v>87</v>
      </c>
      <c r="P28" s="42">
        <v>27</v>
      </c>
      <c r="Q28" s="35" t="s">
        <v>87</v>
      </c>
      <c r="R28" s="42">
        <f>27+8</f>
        <v>35</v>
      </c>
      <c r="S28" s="35" t="s">
        <v>87</v>
      </c>
      <c r="T28" s="42">
        <v>4</v>
      </c>
      <c r="U28" s="35" t="s">
        <v>87</v>
      </c>
      <c r="V28" s="42">
        <v>1</v>
      </c>
      <c r="W28" s="35" t="s">
        <v>87</v>
      </c>
    </row>
    <row r="29" spans="1:27" ht="18" customHeight="1" x14ac:dyDescent="0.25">
      <c r="C29" s="92" t="s">
        <v>23</v>
      </c>
      <c r="D29" s="42">
        <f>D27*D28</f>
        <v>51</v>
      </c>
      <c r="E29" s="35" t="s">
        <v>88</v>
      </c>
      <c r="F29" s="42">
        <f>ROUND(F27*F28,0)</f>
        <v>11</v>
      </c>
      <c r="G29" s="35" t="s">
        <v>88</v>
      </c>
      <c r="H29" s="42">
        <f>ROUND(H27*H28,0)</f>
        <v>9</v>
      </c>
      <c r="I29" s="35" t="s">
        <v>88</v>
      </c>
      <c r="J29" s="42">
        <f>ROUND(J27*J28,0)</f>
        <v>15</v>
      </c>
      <c r="K29" s="35" t="s">
        <v>88</v>
      </c>
      <c r="L29" s="42">
        <f>ROUND(L27*L28,0)</f>
        <v>27</v>
      </c>
      <c r="M29" s="35" t="s">
        <v>88</v>
      </c>
      <c r="N29" s="42">
        <f>ROUND(N27*N28,0)</f>
        <v>27</v>
      </c>
      <c r="O29" s="35" t="s">
        <v>88</v>
      </c>
      <c r="P29" s="42">
        <f>ROUND(P27*P28,0)</f>
        <v>27</v>
      </c>
      <c r="Q29" s="35" t="s">
        <v>88</v>
      </c>
      <c r="R29" s="42">
        <f>ROUND(R27*R28,0)</f>
        <v>35</v>
      </c>
      <c r="S29" s="35" t="s">
        <v>88</v>
      </c>
      <c r="T29" s="42">
        <f>T27*T28</f>
        <v>4</v>
      </c>
      <c r="U29" s="35" t="s">
        <v>88</v>
      </c>
      <c r="V29" s="42">
        <f>V27*V28</f>
        <v>1</v>
      </c>
      <c r="W29" s="35" t="s">
        <v>88</v>
      </c>
    </row>
    <row r="30" spans="1:27" ht="18" customHeight="1" x14ac:dyDescent="0.25">
      <c r="A30" s="87"/>
      <c r="C30" s="92" t="s">
        <v>23</v>
      </c>
      <c r="D30" s="39">
        <v>3928500</v>
      </c>
      <c r="E30" s="35" t="s">
        <v>25</v>
      </c>
      <c r="F30" s="39">
        <v>781245</v>
      </c>
      <c r="G30" s="35" t="s">
        <v>25</v>
      </c>
      <c r="H30" s="39">
        <v>702000</v>
      </c>
      <c r="I30" s="35" t="s">
        <v>25</v>
      </c>
      <c r="J30" s="39">
        <v>918000</v>
      </c>
      <c r="K30" s="35" t="s">
        <v>25</v>
      </c>
      <c r="L30" s="39">
        <v>2232360</v>
      </c>
      <c r="M30" s="35" t="s">
        <v>25</v>
      </c>
      <c r="N30" s="39">
        <v>2232360</v>
      </c>
      <c r="O30" s="35" t="s">
        <v>25</v>
      </c>
      <c r="P30" s="39">
        <v>2232360</v>
      </c>
      <c r="Q30" s="35" t="s">
        <v>25</v>
      </c>
      <c r="R30" s="39">
        <f>2232360+659880</f>
        <v>2892240</v>
      </c>
      <c r="S30" s="35" t="s">
        <v>25</v>
      </c>
      <c r="T30" s="39">
        <v>270000</v>
      </c>
      <c r="U30" s="35" t="s">
        <v>25</v>
      </c>
      <c r="V30" s="39">
        <v>67500</v>
      </c>
      <c r="W30" s="35" t="s">
        <v>25</v>
      </c>
    </row>
    <row r="31" spans="1:27" ht="18" customHeight="1" x14ac:dyDescent="0.25">
      <c r="C31" s="92" t="s">
        <v>24</v>
      </c>
      <c r="D31" s="42">
        <v>9</v>
      </c>
      <c r="E31" s="35" t="s">
        <v>33</v>
      </c>
      <c r="F31" s="42">
        <v>1</v>
      </c>
      <c r="G31" s="35" t="s">
        <v>33</v>
      </c>
      <c r="H31" s="42">
        <v>1</v>
      </c>
      <c r="I31" s="35" t="s">
        <v>33</v>
      </c>
      <c r="J31" s="42">
        <v>2</v>
      </c>
      <c r="K31" s="35" t="s">
        <v>33</v>
      </c>
      <c r="L31" s="42">
        <v>1</v>
      </c>
      <c r="M31" s="35" t="s">
        <v>33</v>
      </c>
      <c r="N31" s="42">
        <v>3</v>
      </c>
      <c r="O31" s="35" t="s">
        <v>33</v>
      </c>
      <c r="P31" s="42">
        <v>3</v>
      </c>
      <c r="Q31" s="35" t="s">
        <v>33</v>
      </c>
      <c r="R31" s="42">
        <v>1</v>
      </c>
      <c r="S31" s="35" t="s">
        <v>33</v>
      </c>
      <c r="T31" s="42">
        <v>1</v>
      </c>
      <c r="U31" s="35" t="s">
        <v>33</v>
      </c>
      <c r="V31" s="42">
        <v>0.33</v>
      </c>
      <c r="W31" s="35" t="s">
        <v>33</v>
      </c>
    </row>
    <row r="32" spans="1:27" ht="18" customHeight="1" x14ac:dyDescent="0.25">
      <c r="A32" s="87"/>
      <c r="C32" s="92" t="s">
        <v>24</v>
      </c>
      <c r="D32" s="39">
        <v>1260250</v>
      </c>
      <c r="E32" s="35" t="s">
        <v>25</v>
      </c>
      <c r="F32" s="39">
        <v>168750</v>
      </c>
      <c r="G32" s="35" t="s">
        <v>25</v>
      </c>
      <c r="H32" s="39">
        <v>168750</v>
      </c>
      <c r="I32" s="35" t="s">
        <v>25</v>
      </c>
      <c r="J32" s="39">
        <v>249750</v>
      </c>
      <c r="K32" s="35" t="s">
        <v>25</v>
      </c>
      <c r="L32" s="39">
        <v>168750</v>
      </c>
      <c r="M32" s="35" t="s">
        <v>25</v>
      </c>
      <c r="N32" s="39">
        <f>168750+155250+84240</f>
        <v>408240</v>
      </c>
      <c r="O32" s="35" t="s">
        <v>25</v>
      </c>
      <c r="P32" s="39">
        <f>168750+155250</f>
        <v>324000</v>
      </c>
      <c r="Q32" s="35" t="s">
        <v>25</v>
      </c>
      <c r="R32" s="39">
        <v>168750</v>
      </c>
      <c r="S32" s="35" t="s">
        <v>25</v>
      </c>
      <c r="T32" s="39">
        <v>168750</v>
      </c>
      <c r="U32" s="35" t="s">
        <v>25</v>
      </c>
      <c r="V32" s="39">
        <v>66825</v>
      </c>
      <c r="W32" s="35" t="s">
        <v>25</v>
      </c>
    </row>
    <row r="33" spans="1:23" ht="18" customHeight="1" x14ac:dyDescent="0.25">
      <c r="A33" s="88"/>
      <c r="C33" s="92" t="s">
        <v>34</v>
      </c>
      <c r="D33" s="42">
        <v>2500</v>
      </c>
      <c r="E33" s="35" t="s">
        <v>35</v>
      </c>
      <c r="F33" s="42">
        <v>367.5</v>
      </c>
      <c r="G33" s="35" t="s">
        <v>35</v>
      </c>
      <c r="H33" s="42">
        <v>0</v>
      </c>
      <c r="I33" s="35" t="s">
        <v>35</v>
      </c>
      <c r="J33" s="42">
        <v>4670</v>
      </c>
      <c r="K33" s="35" t="s">
        <v>35</v>
      </c>
      <c r="L33" s="42">
        <v>872</v>
      </c>
      <c r="M33" s="35" t="s">
        <v>35</v>
      </c>
      <c r="N33" s="42">
        <v>872</v>
      </c>
      <c r="O33" s="35" t="s">
        <v>35</v>
      </c>
      <c r="P33" s="42">
        <v>872</v>
      </c>
      <c r="Q33" s="35" t="s">
        <v>35</v>
      </c>
      <c r="R33" s="42">
        <v>872</v>
      </c>
      <c r="S33" s="35" t="s">
        <v>35</v>
      </c>
      <c r="T33" s="42">
        <v>122</v>
      </c>
      <c r="U33" s="35" t="s">
        <v>35</v>
      </c>
      <c r="V33" s="42">
        <v>671.2</v>
      </c>
      <c r="W33" s="35" t="s">
        <v>35</v>
      </c>
    </row>
    <row r="34" spans="1:23" ht="18" customHeight="1" x14ac:dyDescent="0.25">
      <c r="A34" s="87"/>
      <c r="C34" s="92" t="s">
        <v>34</v>
      </c>
      <c r="D34" s="39">
        <v>250</v>
      </c>
      <c r="E34" s="35" t="s">
        <v>36</v>
      </c>
      <c r="F34" s="39">
        <v>250</v>
      </c>
      <c r="G34" s="35" t="s">
        <v>36</v>
      </c>
      <c r="H34" s="39">
        <v>0</v>
      </c>
      <c r="I34" s="35" t="s">
        <v>36</v>
      </c>
      <c r="J34" s="39">
        <v>250</v>
      </c>
      <c r="K34" s="35" t="s">
        <v>36</v>
      </c>
      <c r="L34" s="39">
        <v>250</v>
      </c>
      <c r="M34" s="35" t="s">
        <v>36</v>
      </c>
      <c r="N34" s="39">
        <v>250</v>
      </c>
      <c r="O34" s="35" t="s">
        <v>36</v>
      </c>
      <c r="P34" s="39">
        <v>250</v>
      </c>
      <c r="Q34" s="35" t="s">
        <v>36</v>
      </c>
      <c r="R34" s="39">
        <v>250</v>
      </c>
      <c r="S34" s="35" t="s">
        <v>36</v>
      </c>
      <c r="T34" s="39">
        <v>250</v>
      </c>
      <c r="U34" s="35" t="s">
        <v>36</v>
      </c>
      <c r="V34" s="39">
        <v>250</v>
      </c>
      <c r="W34" s="35" t="s">
        <v>36</v>
      </c>
    </row>
    <row r="35" spans="1:23" ht="18" customHeight="1" x14ac:dyDescent="0.25">
      <c r="A35" s="87"/>
      <c r="C35" s="92" t="s">
        <v>34</v>
      </c>
      <c r="D35" s="39">
        <f>D33*D34</f>
        <v>625000</v>
      </c>
      <c r="E35" s="35" t="s">
        <v>25</v>
      </c>
      <c r="F35" s="39">
        <f>F33*F34</f>
        <v>91875</v>
      </c>
      <c r="G35" s="35" t="s">
        <v>25</v>
      </c>
      <c r="H35" s="39">
        <v>0</v>
      </c>
      <c r="I35" s="35" t="s">
        <v>25</v>
      </c>
      <c r="J35" s="39">
        <f>J33*J34</f>
        <v>1167500</v>
      </c>
      <c r="K35" s="35" t="s">
        <v>25</v>
      </c>
      <c r="L35" s="39">
        <f>L33*L34</f>
        <v>218000</v>
      </c>
      <c r="M35" s="35" t="s">
        <v>25</v>
      </c>
      <c r="N35" s="39">
        <f>N33*N34</f>
        <v>218000</v>
      </c>
      <c r="O35" s="35" t="s">
        <v>25</v>
      </c>
      <c r="P35" s="39">
        <f>P33*P34</f>
        <v>218000</v>
      </c>
      <c r="Q35" s="35" t="s">
        <v>25</v>
      </c>
      <c r="R35" s="39">
        <f>R33*R34</f>
        <v>218000</v>
      </c>
      <c r="S35" s="35" t="s">
        <v>25</v>
      </c>
      <c r="T35" s="39">
        <f>T33*T34</f>
        <v>30500</v>
      </c>
      <c r="U35" s="35" t="s">
        <v>25</v>
      </c>
      <c r="V35" s="39">
        <f>V33*V34</f>
        <v>167800</v>
      </c>
      <c r="W35" s="35" t="s">
        <v>25</v>
      </c>
    </row>
    <row r="36" spans="1:23" ht="18" customHeight="1" x14ac:dyDescent="0.25">
      <c r="A36" s="87"/>
      <c r="C36" s="92" t="s">
        <v>37</v>
      </c>
      <c r="D36" s="39">
        <v>8400000</v>
      </c>
      <c r="E36" s="35" t="s">
        <v>25</v>
      </c>
      <c r="F36" s="39">
        <v>294975</v>
      </c>
      <c r="G36" s="35" t="s">
        <v>25</v>
      </c>
      <c r="H36" s="39">
        <v>1378750</v>
      </c>
      <c r="I36" s="35" t="s">
        <v>25</v>
      </c>
      <c r="J36" s="39">
        <v>827400</v>
      </c>
      <c r="K36" s="35" t="s">
        <v>25</v>
      </c>
      <c r="L36" s="39">
        <v>889250</v>
      </c>
      <c r="M36" s="35" t="s">
        <v>25</v>
      </c>
      <c r="N36" s="39">
        <f>889250+30000</f>
        <v>919250</v>
      </c>
      <c r="O36" s="35" t="s">
        <v>25</v>
      </c>
      <c r="P36" s="39">
        <v>849640</v>
      </c>
      <c r="Q36" s="35" t="s">
        <v>25</v>
      </c>
      <c r="R36" s="75">
        <v>4655010</v>
      </c>
      <c r="S36" s="35" t="s">
        <v>25</v>
      </c>
      <c r="T36" s="39">
        <v>335690</v>
      </c>
      <c r="U36" s="35" t="s">
        <v>25</v>
      </c>
      <c r="V36" s="39">
        <v>759088</v>
      </c>
      <c r="W36" s="35" t="s">
        <v>25</v>
      </c>
    </row>
    <row r="37" spans="1:23" ht="18" customHeight="1" x14ac:dyDescent="0.25">
      <c r="A37" s="89"/>
      <c r="C37" s="92" t="s">
        <v>38</v>
      </c>
      <c r="D37" s="39">
        <f>D36+D35+D32+D30</f>
        <v>14213750</v>
      </c>
      <c r="E37" s="35" t="s">
        <v>39</v>
      </c>
      <c r="F37" s="39">
        <f>F36+F35+F32+F30</f>
        <v>1336845</v>
      </c>
      <c r="G37" s="35" t="s">
        <v>39</v>
      </c>
      <c r="H37" s="39">
        <f>H36+H35+H32+H30</f>
        <v>2249500</v>
      </c>
      <c r="I37" s="35" t="s">
        <v>39</v>
      </c>
      <c r="J37" s="39">
        <f>J36+J35+J32+J30</f>
        <v>3162650</v>
      </c>
      <c r="K37" s="35" t="s">
        <v>39</v>
      </c>
      <c r="L37" s="39">
        <f>L36+L35+L32+L30</f>
        <v>3508360</v>
      </c>
      <c r="M37" s="35" t="s">
        <v>39</v>
      </c>
      <c r="N37" s="39">
        <f>N36+N35+N32+N30</f>
        <v>3777850</v>
      </c>
      <c r="O37" s="35" t="s">
        <v>39</v>
      </c>
      <c r="P37" s="39">
        <f>P36+P35+P32+P30</f>
        <v>3624000</v>
      </c>
      <c r="Q37" s="35" t="s">
        <v>39</v>
      </c>
      <c r="R37" s="39">
        <v>5852953.4943827363</v>
      </c>
      <c r="S37" s="35" t="s">
        <v>39</v>
      </c>
      <c r="T37" s="39">
        <f>T36+T35+T32+T30</f>
        <v>804940</v>
      </c>
      <c r="U37" s="35" t="s">
        <v>39</v>
      </c>
      <c r="V37" s="39">
        <f>V36+V35+V32+V30</f>
        <v>1061213</v>
      </c>
      <c r="W37" s="35" t="s">
        <v>39</v>
      </c>
    </row>
    <row r="38" spans="1:23" ht="18" customHeight="1" x14ac:dyDescent="0.25">
      <c r="A38" s="89"/>
      <c r="C38" s="92" t="s">
        <v>38</v>
      </c>
      <c r="D38" s="39">
        <f>D37+D25</f>
        <v>17213750</v>
      </c>
      <c r="E38" s="35" t="s">
        <v>40</v>
      </c>
      <c r="F38" s="39">
        <f>F37+F25</f>
        <v>1386845</v>
      </c>
      <c r="G38" s="35" t="s">
        <v>40</v>
      </c>
      <c r="H38" s="39">
        <f>H37+H25</f>
        <v>4749500</v>
      </c>
      <c r="I38" s="35" t="s">
        <v>40</v>
      </c>
      <c r="J38" s="39">
        <f>J37+J25</f>
        <v>3405983.3333333335</v>
      </c>
      <c r="K38" s="35" t="s">
        <v>40</v>
      </c>
      <c r="L38" s="39">
        <f>L37+L25</f>
        <v>5138360</v>
      </c>
      <c r="M38" s="35" t="s">
        <v>40</v>
      </c>
      <c r="N38" s="39">
        <f>N37+N25</f>
        <v>5407850</v>
      </c>
      <c r="O38" s="35" t="s">
        <v>40</v>
      </c>
      <c r="P38" s="39">
        <f>P37+P25</f>
        <v>5320666.666666667</v>
      </c>
      <c r="Q38" s="35" t="s">
        <v>40</v>
      </c>
      <c r="R38" s="39">
        <f>R37+R25</f>
        <v>7556286.8277160693</v>
      </c>
      <c r="S38" s="35" t="s">
        <v>40</v>
      </c>
      <c r="T38" s="39">
        <f>T37+T25</f>
        <v>938273.33333333337</v>
      </c>
      <c r="U38" s="35" t="s">
        <v>40</v>
      </c>
      <c r="V38" s="39">
        <f>V37+V25</f>
        <v>1227879.6666666667</v>
      </c>
      <c r="W38" s="35" t="s">
        <v>40</v>
      </c>
    </row>
    <row r="39" spans="1:23" ht="18" customHeight="1" x14ac:dyDescent="0.25">
      <c r="A39" s="89"/>
      <c r="C39" s="92" t="s">
        <v>41</v>
      </c>
      <c r="D39" s="39">
        <f>D37/D5</f>
        <v>546.49352147333616</v>
      </c>
      <c r="E39" s="35" t="s">
        <v>83</v>
      </c>
      <c r="F39" s="39">
        <f>F37/F5</f>
        <v>1100.2839506172841</v>
      </c>
      <c r="G39" s="35" t="s">
        <v>83</v>
      </c>
      <c r="H39" s="39">
        <f>H37/H5</f>
        <v>50.079031144949802</v>
      </c>
      <c r="I39" s="35" t="s">
        <v>83</v>
      </c>
      <c r="J39" s="39">
        <f>J37/J5</f>
        <v>394.78841592809886</v>
      </c>
      <c r="K39" s="35" t="s">
        <v>83</v>
      </c>
      <c r="L39" s="39">
        <f>L37/L5</f>
        <v>175.0329275593694</v>
      </c>
      <c r="M39" s="35" t="s">
        <v>83</v>
      </c>
      <c r="N39" s="39">
        <f>N37/N5</f>
        <v>188.47784873278786</v>
      </c>
      <c r="O39" s="35" t="s">
        <v>83</v>
      </c>
      <c r="P39" s="39">
        <f>P37/P5</f>
        <v>180.80223508281779</v>
      </c>
      <c r="Q39" s="35" t="s">
        <v>83</v>
      </c>
      <c r="R39" s="39">
        <f>R37/R5</f>
        <v>292.00526314022829</v>
      </c>
      <c r="S39" s="35" t="s">
        <v>83</v>
      </c>
      <c r="T39" s="39">
        <f>T37/T5</f>
        <v>84.730526315789476</v>
      </c>
      <c r="U39" s="35" t="s">
        <v>83</v>
      </c>
      <c r="V39" s="39">
        <f>V37/V5</f>
        <v>141.49506666666667</v>
      </c>
      <c r="W39" s="35" t="s">
        <v>83</v>
      </c>
    </row>
    <row r="40" spans="1:23" ht="18" customHeight="1" thickBot="1" x14ac:dyDescent="0.3">
      <c r="A40" s="89"/>
      <c r="C40" s="94" t="s">
        <v>42</v>
      </c>
      <c r="D40" s="44">
        <f>D38/D5</f>
        <v>661.83820985043644</v>
      </c>
      <c r="E40" s="37" t="s">
        <v>43</v>
      </c>
      <c r="F40" s="44">
        <f>F38/F5</f>
        <v>1141.4362139917696</v>
      </c>
      <c r="G40" s="37" t="s">
        <v>43</v>
      </c>
      <c r="H40" s="44">
        <f>H38/H5</f>
        <v>105.73476702508961</v>
      </c>
      <c r="I40" s="37" t="s">
        <v>43</v>
      </c>
      <c r="J40" s="44">
        <f>J38/J5</f>
        <v>425.1633171056464</v>
      </c>
      <c r="K40" s="37" t="s">
        <v>43</v>
      </c>
      <c r="L40" s="44">
        <f>L38/L5</f>
        <v>256.35402115346238</v>
      </c>
      <c r="M40" s="37" t="s">
        <v>43</v>
      </c>
      <c r="N40" s="44">
        <f>N38/N5</f>
        <v>269.79894232688088</v>
      </c>
      <c r="O40" s="37" t="s">
        <v>43</v>
      </c>
      <c r="P40" s="44">
        <f>P38/P5</f>
        <v>265.44934477482872</v>
      </c>
      <c r="Q40" s="37" t="s">
        <v>43</v>
      </c>
      <c r="R40" s="44">
        <f>R38/R5</f>
        <v>376.98497444203099</v>
      </c>
      <c r="S40" s="37" t="s">
        <v>43</v>
      </c>
      <c r="T40" s="44">
        <f>T38/T5</f>
        <v>98.765614035087722</v>
      </c>
      <c r="U40" s="37" t="s">
        <v>43</v>
      </c>
      <c r="V40" s="44">
        <f>V38/V5</f>
        <v>163.7172888888889</v>
      </c>
      <c r="W40" s="37" t="s">
        <v>43</v>
      </c>
    </row>
    <row r="41" spans="1:23" ht="18" customHeight="1" x14ac:dyDescent="0.25"/>
    <row r="42" spans="1:23" ht="18" customHeight="1" x14ac:dyDescent="0.25"/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Detail for each Technology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Roy Anderson</dc:creator>
  <cp:lastModifiedBy>Roy Anderson</cp:lastModifiedBy>
  <dcterms:created xsi:type="dcterms:W3CDTF">2024-12-30T15:11:55Z</dcterms:created>
  <dcterms:modified xsi:type="dcterms:W3CDTF">2025-02-04T20:55:12Z</dcterms:modified>
</cp:coreProperties>
</file>