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1940" windowHeight="9270" activeTab="1"/>
  </bookViews>
  <sheets>
    <sheet name="SKIPS RATE SETTING" sheetId="34" r:id="rId1"/>
    <sheet name="PRACTICAL EXERCISE 1" sheetId="38" r:id="rId2"/>
    <sheet name="PRACTICAL EXERCISE 2" sheetId="39" r:id="rId3"/>
  </sheets>
  <calcPr calcId="145621"/>
</workbook>
</file>

<file path=xl/calcChain.xml><?xml version="1.0" encoding="utf-8"?>
<calcChain xmlns="http://schemas.openxmlformats.org/spreadsheetml/2006/main">
  <c r="B4" i="39" l="1"/>
  <c r="G4" i="39"/>
  <c r="G7" i="39" s="1"/>
  <c r="G6" i="39"/>
  <c r="B7" i="39"/>
  <c r="B8" i="39"/>
  <c r="D44" i="39" s="1"/>
  <c r="G8" i="39"/>
  <c r="E10" i="39"/>
  <c r="F10" i="39"/>
  <c r="G10" i="39" s="1"/>
  <c r="E11" i="39"/>
  <c r="F11" i="39"/>
  <c r="G11" i="39" s="1"/>
  <c r="E12" i="39"/>
  <c r="F12" i="39"/>
  <c r="G12" i="39" s="1"/>
  <c r="E13" i="39"/>
  <c r="F13" i="39"/>
  <c r="G13" i="39"/>
  <c r="E14" i="39"/>
  <c r="F14" i="39"/>
  <c r="G14" i="39" s="1"/>
  <c r="E15" i="39"/>
  <c r="F15" i="39"/>
  <c r="G15" i="39"/>
  <c r="E16" i="39"/>
  <c r="F16" i="39"/>
  <c r="G16" i="39" s="1"/>
  <c r="E17" i="39"/>
  <c r="F17" i="39"/>
  <c r="G17" i="39" s="1"/>
  <c r="E18" i="39"/>
  <c r="F18" i="39"/>
  <c r="G18" i="39" s="1"/>
  <c r="E19" i="39"/>
  <c r="F19" i="39"/>
  <c r="G19" i="39" s="1"/>
  <c r="E20" i="39"/>
  <c r="F20" i="39"/>
  <c r="G20" i="39" s="1"/>
  <c r="E21" i="39"/>
  <c r="F21" i="39"/>
  <c r="G21" i="39"/>
  <c r="E22" i="39"/>
  <c r="F22" i="39"/>
  <c r="G22" i="39" s="1"/>
  <c r="E23" i="39"/>
  <c r="F23" i="39"/>
  <c r="G23" i="39"/>
  <c r="E24" i="39"/>
  <c r="F24" i="39"/>
  <c r="G24" i="39" s="1"/>
  <c r="E25" i="39"/>
  <c r="F25" i="39"/>
  <c r="G25" i="39" s="1"/>
  <c r="E26" i="39"/>
  <c r="F26" i="39"/>
  <c r="G26" i="39" s="1"/>
  <c r="E27" i="39"/>
  <c r="F27" i="39"/>
  <c r="G27" i="39" s="1"/>
  <c r="B28" i="39"/>
  <c r="E28" i="39"/>
  <c r="E29" i="39" s="1"/>
  <c r="D42" i="39"/>
  <c r="D47" i="39"/>
  <c r="D50" i="39"/>
  <c r="B66" i="39"/>
  <c r="B67" i="39"/>
  <c r="F64" i="39"/>
  <c r="H64" i="39"/>
  <c r="H65" i="39"/>
  <c r="F66" i="39"/>
  <c r="H66" i="39"/>
  <c r="F67" i="39"/>
  <c r="H67" i="39"/>
  <c r="G68" i="39" s="1"/>
  <c r="B68" i="39"/>
  <c r="F68" i="39"/>
  <c r="B69" i="39"/>
  <c r="G69" i="39"/>
  <c r="H69" i="39" s="1"/>
  <c r="B70" i="39"/>
  <c r="D75" i="39"/>
  <c r="B74" i="39" s="1"/>
  <c r="F75" i="39"/>
  <c r="B4" i="38"/>
  <c r="G4" i="38"/>
  <c r="G7" i="38" s="1"/>
  <c r="G6" i="38"/>
  <c r="B7" i="38"/>
  <c r="B8" i="38"/>
  <c r="G8" i="38"/>
  <c r="E10" i="38"/>
  <c r="F10" i="38"/>
  <c r="G10" i="38"/>
  <c r="E11" i="38"/>
  <c r="F11" i="38"/>
  <c r="G11" i="38" s="1"/>
  <c r="E12" i="38"/>
  <c r="F12" i="38"/>
  <c r="G12" i="38"/>
  <c r="E13" i="38"/>
  <c r="F13" i="38"/>
  <c r="G13" i="38" s="1"/>
  <c r="E14" i="38"/>
  <c r="F14" i="38"/>
  <c r="G14" i="38" s="1"/>
  <c r="E15" i="38"/>
  <c r="F15" i="38"/>
  <c r="G15" i="38" s="1"/>
  <c r="E16" i="38"/>
  <c r="F16" i="38"/>
  <c r="G16" i="38" s="1"/>
  <c r="E17" i="38"/>
  <c r="F17" i="38"/>
  <c r="G17" i="38" s="1"/>
  <c r="E18" i="38"/>
  <c r="F18" i="38"/>
  <c r="G18" i="38"/>
  <c r="E19" i="38"/>
  <c r="F19" i="38"/>
  <c r="G19" i="38" s="1"/>
  <c r="E20" i="38"/>
  <c r="F20" i="38"/>
  <c r="G20" i="38"/>
  <c r="E21" i="38"/>
  <c r="F21" i="38"/>
  <c r="G21" i="38" s="1"/>
  <c r="E22" i="38"/>
  <c r="F22" i="38"/>
  <c r="G22" i="38" s="1"/>
  <c r="E23" i="38"/>
  <c r="F23" i="38"/>
  <c r="G23" i="38" s="1"/>
  <c r="E24" i="38"/>
  <c r="F24" i="38"/>
  <c r="G24" i="38" s="1"/>
  <c r="E25" i="38"/>
  <c r="F25" i="38"/>
  <c r="G25" i="38" s="1"/>
  <c r="E26" i="38"/>
  <c r="F26" i="38"/>
  <c r="G26" i="38"/>
  <c r="E27" i="38"/>
  <c r="F27" i="38"/>
  <c r="G27" i="38" s="1"/>
  <c r="B28" i="38"/>
  <c r="D42" i="38"/>
  <c r="D43" i="38"/>
  <c r="D44" i="38"/>
  <c r="D45" i="38"/>
  <c r="D46" i="38"/>
  <c r="D47" i="38"/>
  <c r="D48" i="38"/>
  <c r="D49" i="38"/>
  <c r="D50" i="38"/>
  <c r="B66" i="38"/>
  <c r="B67" i="38"/>
  <c r="F64" i="38" s="1"/>
  <c r="H64" i="38"/>
  <c r="H65" i="38"/>
  <c r="F66" i="38"/>
  <c r="H66" i="38"/>
  <c r="F67" i="38"/>
  <c r="H67" i="38"/>
  <c r="G68" i="38" s="1"/>
  <c r="B68" i="38"/>
  <c r="F68" i="38"/>
  <c r="B69" i="38"/>
  <c r="B70" i="38" s="1"/>
  <c r="G69" i="38"/>
  <c r="D75" i="38"/>
  <c r="F75" i="38"/>
  <c r="B74" i="38" s="1"/>
  <c r="B66" i="34"/>
  <c r="F66" i="34"/>
  <c r="B68" i="34"/>
  <c r="F67" i="34"/>
  <c r="B69" i="34" s="1"/>
  <c r="B70" i="34" s="1"/>
  <c r="B67" i="34"/>
  <c r="F75" i="34"/>
  <c r="D75" i="34"/>
  <c r="B74" i="34" s="1"/>
  <c r="H65" i="34"/>
  <c r="H67" i="34"/>
  <c r="H64" i="34"/>
  <c r="H66" i="34"/>
  <c r="G69" i="34"/>
  <c r="H69" i="34" s="1"/>
  <c r="G68" i="34"/>
  <c r="G6" i="34"/>
  <c r="G8" i="34" s="1"/>
  <c r="F26" i="34"/>
  <c r="G26" i="34"/>
  <c r="F10" i="34"/>
  <c r="G10" i="34" s="1"/>
  <c r="F11" i="34"/>
  <c r="G11" i="34"/>
  <c r="F12" i="34"/>
  <c r="G12" i="34" s="1"/>
  <c r="F13" i="34"/>
  <c r="G13" i="34"/>
  <c r="F14" i="34"/>
  <c r="G14" i="34" s="1"/>
  <c r="F15" i="34"/>
  <c r="G15" i="34"/>
  <c r="F16" i="34"/>
  <c r="G16" i="34" s="1"/>
  <c r="F17" i="34"/>
  <c r="G17" i="34"/>
  <c r="F18" i="34"/>
  <c r="G18" i="34" s="1"/>
  <c r="F19" i="34"/>
  <c r="G19" i="34"/>
  <c r="F20" i="34"/>
  <c r="G20" i="34" s="1"/>
  <c r="F21" i="34"/>
  <c r="G21" i="34"/>
  <c r="F22" i="34"/>
  <c r="G22" i="34" s="1"/>
  <c r="F23" i="34"/>
  <c r="G23" i="34"/>
  <c r="F24" i="34"/>
  <c r="G24" i="34" s="1"/>
  <c r="F25" i="34"/>
  <c r="G25" i="34"/>
  <c r="F27" i="34"/>
  <c r="G27" i="34" s="1"/>
  <c r="B4" i="34"/>
  <c r="E26" i="34"/>
  <c r="E10" i="34"/>
  <c r="E28" i="34" s="1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7" i="34"/>
  <c r="G4" i="34"/>
  <c r="G7" i="34" s="1"/>
  <c r="F68" i="34"/>
  <c r="F64" i="34"/>
  <c r="B7" i="34"/>
  <c r="B8" i="34"/>
  <c r="D46" i="34" s="1"/>
  <c r="B28" i="34"/>
  <c r="D42" i="34"/>
  <c r="D44" i="34"/>
  <c r="D48" i="34"/>
  <c r="D50" i="34"/>
  <c r="G28" i="34" l="1"/>
  <c r="H69" i="38"/>
  <c r="B30" i="34"/>
  <c r="G42" i="34" s="1"/>
  <c r="E29" i="34"/>
  <c r="D46" i="39"/>
  <c r="D43" i="39"/>
  <c r="B30" i="39"/>
  <c r="E28" i="38"/>
  <c r="D48" i="39"/>
  <c r="D45" i="39"/>
  <c r="D49" i="39"/>
  <c r="G46" i="34"/>
  <c r="G45" i="34"/>
  <c r="G29" i="34"/>
  <c r="G32" i="34"/>
  <c r="G33" i="34" s="1"/>
  <c r="G35" i="34"/>
  <c r="B35" i="34" s="1"/>
  <c r="E29" i="38"/>
  <c r="B30" i="38"/>
  <c r="G28" i="38"/>
  <c r="G28" i="39"/>
  <c r="D49" i="34"/>
  <c r="D47" i="34"/>
  <c r="D45" i="34"/>
  <c r="D43" i="34"/>
  <c r="G47" i="39"/>
  <c r="G45" i="39"/>
  <c r="G49" i="34" l="1"/>
  <c r="G48" i="34"/>
  <c r="B34" i="34"/>
  <c r="B36" i="34" s="1"/>
  <c r="B34" i="39"/>
  <c r="G46" i="39"/>
  <c r="G44" i="39"/>
  <c r="G42" i="39"/>
  <c r="G50" i="39"/>
  <c r="G48" i="39"/>
  <c r="G43" i="34"/>
  <c r="G44" i="34"/>
  <c r="G49" i="39"/>
  <c r="G43" i="39"/>
  <c r="G36" i="34"/>
  <c r="B32" i="34" s="1"/>
  <c r="G47" i="34"/>
  <c r="H47" i="34" s="1"/>
  <c r="G50" i="34"/>
  <c r="B34" i="38"/>
  <c r="G42" i="38"/>
  <c r="G44" i="38"/>
  <c r="G46" i="38"/>
  <c r="G48" i="38"/>
  <c r="G50" i="38"/>
  <c r="G43" i="38"/>
  <c r="G45" i="38"/>
  <c r="G47" i="38"/>
  <c r="G49" i="38"/>
  <c r="B31" i="34"/>
  <c r="C32" i="34" s="1"/>
  <c r="H45" i="34"/>
  <c r="I68" i="34"/>
  <c r="H48" i="34"/>
  <c r="H44" i="34"/>
  <c r="I69" i="34"/>
  <c r="G29" i="39"/>
  <c r="G35" i="39"/>
  <c r="H43" i="39" s="1"/>
  <c r="G32" i="39"/>
  <c r="G29" i="38"/>
  <c r="G35" i="38"/>
  <c r="G36" i="38" s="1"/>
  <c r="G32" i="38"/>
  <c r="H45" i="39"/>
  <c r="H49" i="34"/>
  <c r="H43" i="34"/>
  <c r="H50" i="34"/>
  <c r="H46" i="34"/>
  <c r="H42" i="34"/>
  <c r="B35" i="39" l="1"/>
  <c r="B36" i="39" s="1"/>
  <c r="G33" i="39"/>
  <c r="H49" i="39"/>
  <c r="H49" i="38"/>
  <c r="H45" i="38"/>
  <c r="I68" i="38"/>
  <c r="H48" i="38"/>
  <c r="H44" i="38"/>
  <c r="G33" i="38"/>
  <c r="B35" i="38"/>
  <c r="B36" i="38" s="1"/>
  <c r="G36" i="39"/>
  <c r="I68" i="39"/>
  <c r="I69" i="39"/>
  <c r="H46" i="39"/>
  <c r="H44" i="39"/>
  <c r="H50" i="39"/>
  <c r="H42" i="39"/>
  <c r="H48" i="39"/>
  <c r="H47" i="39"/>
  <c r="H47" i="38"/>
  <c r="H43" i="38"/>
  <c r="I69" i="38"/>
  <c r="H50" i="38"/>
  <c r="H46" i="38"/>
  <c r="H42" i="38"/>
  <c r="B32" i="38" l="1"/>
  <c r="B31" i="38"/>
  <c r="B32" i="39"/>
  <c r="C32" i="39" s="1"/>
  <c r="B31" i="39"/>
  <c r="C32" i="38" l="1"/>
</calcChain>
</file>

<file path=xl/sharedStrings.xml><?xml version="1.0" encoding="utf-8"?>
<sst xmlns="http://schemas.openxmlformats.org/spreadsheetml/2006/main" count="267" uniqueCount="89">
  <si>
    <t>ERU gallons</t>
  </si>
  <si>
    <t>LINE ITEM</t>
  </si>
  <si>
    <t xml:space="preserve">ANNUAL </t>
  </si>
  <si>
    <t>FIXED</t>
  </si>
  <si>
    <t>VARIABLE</t>
  </si>
  <si>
    <t>Annual Operating Budget</t>
  </si>
  <si>
    <t>Per ERU:</t>
  </si>
  <si>
    <t>Service Charge Revenues</t>
  </si>
  <si>
    <t>Rate Revenues</t>
  </si>
  <si>
    <t>Operating Revenues</t>
  </si>
  <si>
    <t>Monthly Bill</t>
  </si>
  <si>
    <t>Fixed / variable percentages of budget</t>
  </si>
  <si>
    <t>Customer Class</t>
  </si>
  <si>
    <t>Calc ERU</t>
  </si>
  <si>
    <t>Annual Gallons Sold</t>
  </si>
  <si>
    <t xml:space="preserve"> Assigned   ERU</t>
  </si>
  <si>
    <t>ADJUSTED CONNECTIONS</t>
  </si>
  <si>
    <t>Residential gallons sold</t>
  </si>
  <si>
    <t>RESIDENTIAL CONNECTIONS</t>
  </si>
  <si>
    <t>ERU cubic feet</t>
  </si>
  <si>
    <t>Adjusted gallons</t>
  </si>
  <si>
    <t>REVENUE CHECK</t>
  </si>
  <si>
    <t>Monthly Service Charge</t>
  </si>
  <si>
    <t>Free gallons</t>
  </si>
  <si>
    <r>
      <t>Adjusted Ft</t>
    </r>
    <r>
      <rPr>
        <b/>
        <sz val="11"/>
        <rFont val="Arial"/>
        <family val="2"/>
      </rPr>
      <t>³</t>
    </r>
  </si>
  <si>
    <r>
      <t>T</t>
    </r>
    <r>
      <rPr>
        <b/>
        <sz val="10"/>
        <rFont val="Arial"/>
        <family val="2"/>
      </rPr>
      <t>otal gallons                  sold</t>
    </r>
  </si>
  <si>
    <t>Total cubic feet sold</t>
  </si>
  <si>
    <t>Free cubic feet</t>
  </si>
  <si>
    <t>Commodity Rate /1000 gals</t>
  </si>
  <si>
    <t>Commodity Rate /100 cubic ft</t>
  </si>
  <si>
    <r>
      <t xml:space="preserve">ERU </t>
    </r>
    <r>
      <rPr>
        <b/>
        <sz val="12"/>
        <rFont val="Arial"/>
        <family val="2"/>
      </rPr>
      <t>%</t>
    </r>
  </si>
  <si>
    <r>
      <t xml:space="preserve">FIXED </t>
    </r>
    <r>
      <rPr>
        <b/>
        <sz val="12"/>
        <rFont val="Arial"/>
        <family val="2"/>
      </rPr>
      <t>%</t>
    </r>
  </si>
  <si>
    <r>
      <t xml:space="preserve">VARIABLE </t>
    </r>
    <r>
      <rPr>
        <b/>
        <sz val="12"/>
        <rFont val="Arial"/>
        <family val="2"/>
      </rPr>
      <t>%</t>
    </r>
  </si>
  <si>
    <r>
      <t>Annual       Ft</t>
    </r>
    <r>
      <rPr>
        <b/>
        <sz val="12"/>
        <rFont val="Arial"/>
        <family val="2"/>
      </rPr>
      <t>³</t>
    </r>
  </si>
  <si>
    <t>Residential cubic feet sold</t>
  </si>
  <si>
    <t>Wages - Operations</t>
  </si>
  <si>
    <t>Wages - Admin</t>
  </si>
  <si>
    <t>Maintenance and Repairs</t>
  </si>
  <si>
    <t>Electricity &amp; Utilities</t>
  </si>
  <si>
    <t>Auto Expense</t>
  </si>
  <si>
    <t>Chemicals and Supplies</t>
  </si>
  <si>
    <t>Professional Fees</t>
  </si>
  <si>
    <t>Insurance and Bonds</t>
  </si>
  <si>
    <t>Debt Service</t>
  </si>
  <si>
    <t>Equipment Replacement</t>
  </si>
  <si>
    <t>Operating Reserve</t>
  </si>
  <si>
    <t>Taxes</t>
  </si>
  <si>
    <t>Office Supplies</t>
  </si>
  <si>
    <t>Tier in gallons</t>
  </si>
  <si>
    <t>Tier in cubic feet</t>
  </si>
  <si>
    <t>Water used above tier, gals</t>
  </si>
  <si>
    <t>Gallons at new rate</t>
  </si>
  <si>
    <t>Cubic feet at new rate</t>
  </si>
  <si>
    <t>Water used above tier, Ft³</t>
  </si>
  <si>
    <t>"BALLPARK" TIER ADJUSTMENT WORKSHEET</t>
  </si>
  <si>
    <t>Period of tier in  months</t>
  </si>
  <si>
    <t>Estimated water saved</t>
  </si>
  <si>
    <t>Gallons last used in period</t>
  </si>
  <si>
    <t>Cubic feet last used in period</t>
  </si>
  <si>
    <t>Service Charge</t>
  </si>
  <si>
    <t xml:space="preserve">  gals</t>
  </si>
  <si>
    <r>
      <t xml:space="preserve">  Ft</t>
    </r>
    <r>
      <rPr>
        <sz val="12"/>
        <rFont val="Arial"/>
        <family val="2"/>
      </rPr>
      <t>³</t>
    </r>
  </si>
  <si>
    <t>Avg. Monthly Bill</t>
  </si>
  <si>
    <t>Emergency Reserve</t>
  </si>
  <si>
    <t>Miscellaneous</t>
  </si>
  <si>
    <t>Cost for 2 ERUs</t>
  </si>
  <si>
    <t>Total gallons</t>
  </si>
  <si>
    <t>Total cubic ft.</t>
  </si>
  <si>
    <t>Avg use gals</t>
  </si>
  <si>
    <t>Avg use Ft³</t>
  </si>
  <si>
    <t>Billing calculator:</t>
  </si>
  <si>
    <t>Gallons in period</t>
  </si>
  <si>
    <t>Cubic Ft. in period</t>
  </si>
  <si>
    <t>Per add. avg use</t>
  </si>
  <si>
    <t xml:space="preserve">  Total revenues in period</t>
  </si>
  <si>
    <t>Above tier water saved %:</t>
  </si>
  <si>
    <t>worksheets below!</t>
  </si>
  <si>
    <t xml:space="preserve">**Charges may NOT be valid! Check data entered in </t>
  </si>
  <si>
    <r>
      <t>SKIP's</t>
    </r>
    <r>
      <rPr>
        <b/>
        <sz val="12"/>
        <rFont val="Arial"/>
        <family val="2"/>
      </rPr>
      <t xml:space="preserve"> SMALL WATER SYSTEM RATE WORKSHEET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</t>
    </r>
  </si>
  <si>
    <t>Service Charge:</t>
  </si>
  <si>
    <t>This average bill</t>
  </si>
  <si>
    <r>
      <t>Above tier revenue</t>
    </r>
    <r>
      <rPr>
        <b/>
        <sz val="10"/>
        <color indexed="10"/>
        <rFont val="Arial"/>
        <family val="2"/>
      </rPr>
      <t xml:space="preserve"> (gals)</t>
    </r>
  </si>
  <si>
    <r>
      <t xml:space="preserve">Above tier revenue </t>
    </r>
    <r>
      <rPr>
        <b/>
        <sz val="10"/>
        <color indexed="10"/>
        <rFont val="Arial"/>
        <family val="2"/>
      </rPr>
      <t>(Ft³)</t>
    </r>
  </si>
  <si>
    <t>Rate per 100 ft³ above tier</t>
  </si>
  <si>
    <t>Rate per 1000 gals above tier</t>
  </si>
  <si>
    <t>Rate in tier / 1000 gallons</t>
  </si>
  <si>
    <t>Rate in tier / 100 cubic feet</t>
  </si>
  <si>
    <t xml:space="preserve">Number of connections </t>
  </si>
  <si>
    <t>Regulatory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</si>
</sst>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ck">
        <color indexed="10"/>
      </top>
      <bottom style="thick">
        <color indexed="64"/>
      </bottom>
      <diagonal/>
    </border>
    <border>
      <left style="thin">
        <color indexed="64"/>
      </left>
      <right/>
      <top style="thick">
        <color indexed="10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3" xfId="0" applyFont="1" applyFill="1" applyBorder="1" applyProtection="1">
      <protection locked="0"/>
    </xf>
    <xf numFmtId="0" fontId="4" fillId="0" borderId="4" xfId="0" applyFont="1" applyBorder="1"/>
    <xf numFmtId="0" fontId="3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8" fontId="3" fillId="0" borderId="12" xfId="0" applyNumberFormat="1" applyFont="1" applyFill="1" applyBorder="1"/>
    <xf numFmtId="0" fontId="3" fillId="0" borderId="13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3" fontId="3" fillId="3" borderId="14" xfId="0" applyNumberFormat="1" applyFont="1" applyFill="1" applyBorder="1" applyAlignment="1" applyProtection="1">
      <alignment horizontal="center"/>
      <protection locked="0"/>
    </xf>
    <xf numFmtId="3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3" fontId="3" fillId="3" borderId="15" xfId="0" applyNumberFormat="1" applyFont="1" applyFill="1" applyBorder="1" applyAlignment="1" applyProtection="1">
      <alignment horizontal="center"/>
      <protection locked="0"/>
    </xf>
    <xf numFmtId="3" fontId="3" fillId="2" borderId="16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3" fontId="3" fillId="3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2" borderId="21" xfId="0" applyFont="1" applyFill="1" applyBorder="1" applyProtection="1">
      <protection locked="0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1" fontId="3" fillId="4" borderId="11" xfId="0" applyNumberFormat="1" applyFont="1" applyFill="1" applyBorder="1" applyAlignment="1" applyProtection="1">
      <alignment horizontal="center"/>
      <protection hidden="1"/>
    </xf>
    <xf numFmtId="3" fontId="3" fillId="4" borderId="22" xfId="0" applyNumberFormat="1" applyFont="1" applyFill="1" applyBorder="1" applyAlignment="1" applyProtection="1">
      <alignment horizontal="right" indent="1"/>
      <protection hidden="1"/>
    </xf>
    <xf numFmtId="3" fontId="3" fillId="0" borderId="23" xfId="0" applyNumberFormat="1" applyFont="1" applyFill="1" applyBorder="1" applyAlignment="1" applyProtection="1">
      <alignment horizontal="right" indent="1"/>
      <protection hidden="1"/>
    </xf>
    <xf numFmtId="3" fontId="3" fillId="4" borderId="23" xfId="0" applyNumberFormat="1" applyFont="1" applyFill="1" applyBorder="1" applyAlignment="1" applyProtection="1">
      <alignment horizontal="right" indent="1"/>
      <protection hidden="1"/>
    </xf>
    <xf numFmtId="6" fontId="3" fillId="4" borderId="24" xfId="0" applyNumberFormat="1" applyFont="1" applyFill="1" applyBorder="1" applyAlignment="1" applyProtection="1">
      <alignment horizontal="left" vertical="center" indent="1"/>
      <protection hidden="1"/>
    </xf>
    <xf numFmtId="0" fontId="3" fillId="4" borderId="24" xfId="0" applyFont="1" applyFill="1" applyBorder="1" applyAlignment="1" applyProtection="1">
      <alignment horizontal="right" vertical="center" indent="3"/>
      <protection hidden="1"/>
    </xf>
    <xf numFmtId="6" fontId="3" fillId="4" borderId="25" xfId="0" applyNumberFormat="1" applyFont="1" applyFill="1" applyBorder="1" applyAlignment="1" applyProtection="1">
      <alignment horizontal="left" vertical="center" indent="1"/>
      <protection hidden="1"/>
    </xf>
    <xf numFmtId="6" fontId="3" fillId="4" borderId="9" xfId="0" applyNumberFormat="1" applyFont="1" applyFill="1" applyBorder="1" applyAlignment="1" applyProtection="1">
      <alignment horizontal="left" vertical="center" indent="1"/>
      <protection hidden="1"/>
    </xf>
    <xf numFmtId="0" fontId="3" fillId="4" borderId="9" xfId="0" applyFont="1" applyFill="1" applyBorder="1" applyAlignment="1" applyProtection="1">
      <alignment horizontal="right" vertical="center" indent="3"/>
      <protection hidden="1"/>
    </xf>
    <xf numFmtId="6" fontId="3" fillId="4" borderId="14" xfId="0" applyNumberFormat="1" applyFont="1" applyFill="1" applyBorder="1" applyAlignment="1" applyProtection="1">
      <alignment horizontal="left" vertical="center" indent="1"/>
      <protection hidden="1"/>
    </xf>
    <xf numFmtId="6" fontId="3" fillId="4" borderId="1" xfId="0" applyNumberFormat="1" applyFont="1" applyFill="1" applyBorder="1" applyAlignment="1" applyProtection="1">
      <alignment horizontal="left" vertical="center" indent="1"/>
      <protection hidden="1"/>
    </xf>
    <xf numFmtId="0" fontId="3" fillId="4" borderId="1" xfId="0" applyFont="1" applyFill="1" applyBorder="1" applyAlignment="1" applyProtection="1">
      <alignment horizontal="right" vertical="center" indent="3"/>
      <protection hidden="1"/>
    </xf>
    <xf numFmtId="6" fontId="3" fillId="4" borderId="22" xfId="0" applyNumberFormat="1" applyFont="1" applyFill="1" applyBorder="1" applyAlignment="1" applyProtection="1">
      <alignment horizontal="left" vertical="center" indent="1"/>
      <protection hidden="1"/>
    </xf>
    <xf numFmtId="6" fontId="3" fillId="5" borderId="26" xfId="0" applyNumberFormat="1" applyFont="1" applyFill="1" applyBorder="1" applyAlignment="1" applyProtection="1">
      <alignment horizontal="center" vertical="center"/>
      <protection hidden="1"/>
    </xf>
    <xf numFmtId="7" fontId="9" fillId="4" borderId="27" xfId="0" applyNumberFormat="1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right"/>
      <protection hidden="1"/>
    </xf>
    <xf numFmtId="9" fontId="3" fillId="0" borderId="28" xfId="0" applyNumberFormat="1" applyFont="1" applyFill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right"/>
      <protection hidden="1"/>
    </xf>
    <xf numFmtId="6" fontId="3" fillId="0" borderId="28" xfId="0" applyNumberFormat="1" applyFont="1" applyFill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165" fontId="3" fillId="0" borderId="29" xfId="0" applyNumberFormat="1" applyFont="1" applyFill="1" applyBorder="1" applyAlignment="1" applyProtection="1">
      <alignment horizontal="center"/>
      <protection hidden="1"/>
    </xf>
    <xf numFmtId="0" fontId="3" fillId="0" borderId="30" xfId="0" applyFont="1" applyFill="1" applyBorder="1" applyAlignment="1" applyProtection="1">
      <alignment horizontal="center"/>
      <protection hidden="1"/>
    </xf>
    <xf numFmtId="2" fontId="3" fillId="4" borderId="9" xfId="0" applyNumberFormat="1" applyFont="1" applyFill="1" applyBorder="1" applyAlignment="1" applyProtection="1">
      <alignment horizontal="center"/>
      <protection hidden="1"/>
    </xf>
    <xf numFmtId="2" fontId="3" fillId="4" borderId="15" xfId="0" applyNumberFormat="1" applyFont="1" applyFill="1" applyBorder="1" applyAlignment="1" applyProtection="1">
      <alignment horizontal="center"/>
      <protection hidden="1"/>
    </xf>
    <xf numFmtId="8" fontId="3" fillId="4" borderId="31" xfId="0" applyNumberFormat="1" applyFont="1" applyFill="1" applyBorder="1" applyAlignment="1" applyProtection="1">
      <alignment horizontal="center"/>
      <protection hidden="1"/>
    </xf>
    <xf numFmtId="164" fontId="3" fillId="4" borderId="32" xfId="0" applyNumberFormat="1" applyFont="1" applyFill="1" applyBorder="1" applyAlignment="1" applyProtection="1">
      <alignment horizontal="center"/>
      <protection hidden="1"/>
    </xf>
    <xf numFmtId="8" fontId="3" fillId="4" borderId="1" xfId="0" applyNumberFormat="1" applyFont="1" applyFill="1" applyBorder="1" applyAlignment="1" applyProtection="1">
      <alignment horizontal="center"/>
      <protection hidden="1"/>
    </xf>
    <xf numFmtId="8" fontId="3" fillId="4" borderId="15" xfId="0" applyNumberFormat="1" applyFon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5" fontId="3" fillId="2" borderId="1" xfId="0" applyNumberFormat="1" applyFont="1" applyFill="1" applyBorder="1" applyAlignment="1" applyProtection="1">
      <alignment horizontal="left" vertical="center" indent="1"/>
      <protection locked="0"/>
    </xf>
    <xf numFmtId="3" fontId="3" fillId="2" borderId="9" xfId="0" applyNumberFormat="1" applyFont="1" applyFill="1" applyBorder="1" applyAlignment="1" applyProtection="1">
      <alignment horizontal="left" indent="1"/>
      <protection locked="0"/>
    </xf>
    <xf numFmtId="164" fontId="3" fillId="2" borderId="1" xfId="0" applyNumberFormat="1" applyFont="1" applyFill="1" applyBorder="1" applyAlignment="1" applyProtection="1">
      <alignment horizontal="left" indent="1"/>
      <protection locked="0"/>
    </xf>
    <xf numFmtId="164" fontId="3" fillId="3" borderId="34" xfId="0" applyNumberFormat="1" applyFont="1" applyFill="1" applyBorder="1" applyAlignment="1" applyProtection="1">
      <alignment horizontal="left" indent="1"/>
      <protection locked="0"/>
    </xf>
    <xf numFmtId="164" fontId="3" fillId="3" borderId="1" xfId="0" applyNumberFormat="1" applyFont="1" applyFill="1" applyBorder="1" applyAlignment="1" applyProtection="1">
      <alignment horizontal="left" indent="1"/>
      <protection locked="0"/>
    </xf>
    <xf numFmtId="0" fontId="4" fillId="0" borderId="1" xfId="0" applyFont="1" applyBorder="1"/>
    <xf numFmtId="3" fontId="3" fillId="4" borderId="1" xfId="0" applyNumberFormat="1" applyFont="1" applyFill="1" applyBorder="1" applyAlignment="1" applyProtection="1">
      <alignment horizontal="left" indent="1"/>
      <protection hidden="1"/>
    </xf>
    <xf numFmtId="8" fontId="3" fillId="4" borderId="1" xfId="0" applyNumberFormat="1" applyFont="1" applyFill="1" applyBorder="1" applyProtection="1">
      <protection hidden="1"/>
    </xf>
    <xf numFmtId="1" fontId="3" fillId="3" borderId="32" xfId="0" applyNumberFormat="1" applyFont="1" applyFill="1" applyBorder="1" applyAlignment="1" applyProtection="1">
      <alignment horizontal="left" indent="1"/>
      <protection locked="0"/>
    </xf>
    <xf numFmtId="0" fontId="3" fillId="2" borderId="31" xfId="0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protection hidden="1"/>
    </xf>
    <xf numFmtId="8" fontId="7" fillId="0" borderId="0" xfId="0" applyNumberFormat="1" applyFont="1"/>
    <xf numFmtId="0" fontId="7" fillId="0" borderId="0" xfId="0" applyFont="1"/>
    <xf numFmtId="0" fontId="7" fillId="0" borderId="12" xfId="0" applyFont="1" applyBorder="1"/>
    <xf numFmtId="165" fontId="3" fillId="2" borderId="24" xfId="0" applyNumberFormat="1" applyFont="1" applyFill="1" applyBorder="1" applyAlignment="1" applyProtection="1">
      <alignment horizontal="left" vertical="center" indent="1"/>
      <protection locked="0"/>
    </xf>
    <xf numFmtId="165" fontId="3" fillId="2" borderId="9" xfId="0" applyNumberFormat="1" applyFont="1" applyFill="1" applyBorder="1" applyAlignment="1" applyProtection="1">
      <alignment horizontal="left" vertical="center" indent="1"/>
      <protection locked="0"/>
    </xf>
    <xf numFmtId="8" fontId="3" fillId="4" borderId="9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2" xfId="0" applyNumberFormat="1" applyFont="1" applyBorder="1"/>
    <xf numFmtId="0" fontId="7" fillId="0" borderId="30" xfId="0" applyFont="1" applyBorder="1" applyAlignment="1" applyProtection="1">
      <alignment horizontal="center"/>
      <protection hidden="1"/>
    </xf>
    <xf numFmtId="0" fontId="7" fillId="0" borderId="0" xfId="0" applyFont="1" applyBorder="1"/>
    <xf numFmtId="1" fontId="7" fillId="0" borderId="0" xfId="0" applyNumberFormat="1" applyFont="1" applyBorder="1"/>
    <xf numFmtId="0" fontId="3" fillId="0" borderId="35" xfId="0" applyFont="1" applyBorder="1" applyAlignment="1" applyProtection="1">
      <alignment horizontal="right"/>
      <protection hidden="1"/>
    </xf>
    <xf numFmtId="9" fontId="9" fillId="4" borderId="1" xfId="0" applyNumberFormat="1" applyFon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/>
    <xf numFmtId="9" fontId="9" fillId="4" borderId="33" xfId="0" applyNumberFormat="1" applyFont="1" applyFill="1" applyBorder="1" applyAlignment="1" applyProtection="1">
      <alignment horizontal="left"/>
      <protection hidden="1"/>
    </xf>
    <xf numFmtId="164" fontId="9" fillId="4" borderId="1" xfId="0" applyNumberFormat="1" applyFont="1" applyFill="1" applyBorder="1" applyAlignment="1" applyProtection="1">
      <alignment horizontal="center"/>
      <protection hidden="1"/>
    </xf>
    <xf numFmtId="8" fontId="9" fillId="4" borderId="15" xfId="0" applyNumberFormat="1" applyFont="1" applyFill="1" applyBorder="1" applyAlignment="1" applyProtection="1">
      <alignment horizontal="center"/>
      <protection hidden="1"/>
    </xf>
    <xf numFmtId="9" fontId="9" fillId="2" borderId="34" xfId="0" applyNumberFormat="1" applyFont="1" applyFill="1" applyBorder="1" applyAlignment="1" applyProtection="1">
      <alignment horizontal="left" indent="1"/>
      <protection locked="0"/>
    </xf>
    <xf numFmtId="164" fontId="0" fillId="0" borderId="0" xfId="0" applyNumberFormat="1"/>
    <xf numFmtId="0" fontId="3" fillId="0" borderId="0" xfId="0" applyFont="1" applyAlignment="1"/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4" borderId="1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/>
    <xf numFmtId="0" fontId="3" fillId="0" borderId="36" xfId="0" applyFont="1" applyBorder="1" applyAlignment="1">
      <alignment horizontal="right"/>
    </xf>
    <xf numFmtId="0" fontId="3" fillId="2" borderId="37" xfId="0" applyFont="1" applyFill="1" applyBorder="1" applyAlignment="1" applyProtection="1">
      <alignment horizontal="left" indent="1"/>
      <protection locked="0"/>
    </xf>
    <xf numFmtId="3" fontId="3" fillId="4" borderId="22" xfId="0" applyNumberFormat="1" applyFont="1" applyFill="1" applyBorder="1" applyAlignment="1" applyProtection="1">
      <alignment horizontal="left" indent="1"/>
      <protection hidden="1"/>
    </xf>
    <xf numFmtId="3" fontId="3" fillId="3" borderId="22" xfId="0" applyNumberFormat="1" applyFont="1" applyFill="1" applyBorder="1" applyAlignment="1" applyProtection="1">
      <alignment horizontal="left" indent="1"/>
      <protection locked="0"/>
    </xf>
    <xf numFmtId="164" fontId="3" fillId="4" borderId="1" xfId="0" applyNumberFormat="1" applyFont="1" applyFill="1" applyBorder="1" applyProtection="1">
      <protection hidden="1"/>
    </xf>
    <xf numFmtId="164" fontId="3" fillId="4" borderId="24" xfId="0" applyNumberFormat="1" applyFont="1" applyFill="1" applyBorder="1" applyAlignment="1" applyProtection="1">
      <protection hidden="1"/>
    </xf>
    <xf numFmtId="0" fontId="3" fillId="4" borderId="1" xfId="0" applyFont="1" applyFill="1" applyBorder="1" applyAlignment="1"/>
    <xf numFmtId="3" fontId="12" fillId="4" borderId="34" xfId="0" applyNumberFormat="1" applyFont="1" applyFill="1" applyBorder="1" applyAlignment="1" applyProtection="1">
      <alignment horizontal="center"/>
      <protection hidden="1"/>
    </xf>
    <xf numFmtId="1" fontId="4" fillId="4" borderId="34" xfId="0" applyNumberFormat="1" applyFont="1" applyFill="1" applyBorder="1" applyAlignment="1" applyProtection="1">
      <alignment horizontal="center"/>
      <protection hidden="1"/>
    </xf>
    <xf numFmtId="164" fontId="7" fillId="0" borderId="0" xfId="0" applyNumberFormat="1" applyFont="1" applyBorder="1"/>
    <xf numFmtId="0" fontId="9" fillId="0" borderId="28" xfId="0" applyFont="1" applyBorder="1" applyAlignment="1" applyProtection="1">
      <alignment horizontal="left"/>
      <protection hidden="1"/>
    </xf>
    <xf numFmtId="0" fontId="3" fillId="6" borderId="35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3" fillId="0" borderId="39" xfId="0" applyFont="1" applyBorder="1"/>
    <xf numFmtId="0" fontId="0" fillId="0" borderId="0" xfId="0" applyFill="1"/>
    <xf numFmtId="3" fontId="3" fillId="3" borderId="40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right"/>
      <protection hidden="1"/>
    </xf>
    <xf numFmtId="3" fontId="4" fillId="4" borderId="41" xfId="0" applyNumberFormat="1" applyFont="1" applyFill="1" applyBorder="1" applyAlignment="1" applyProtection="1">
      <alignment horizontal="center"/>
      <protection hidden="1"/>
    </xf>
    <xf numFmtId="3" fontId="4" fillId="4" borderId="34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>
      <alignment horizontal="right" indent="1"/>
    </xf>
    <xf numFmtId="0" fontId="9" fillId="0" borderId="44" xfId="0" applyFont="1" applyBorder="1" applyAlignment="1" applyProtection="1">
      <alignment horizontal="left"/>
      <protection hidden="1"/>
    </xf>
    <xf numFmtId="0" fontId="3" fillId="6" borderId="45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0" fontId="7" fillId="0" borderId="47" xfId="0" applyFont="1" applyBorder="1" applyAlignment="1" applyProtection="1">
      <protection hidden="1"/>
    </xf>
    <xf numFmtId="5" fontId="3" fillId="5" borderId="14" xfId="0" applyNumberFormat="1" applyFont="1" applyFill="1" applyBorder="1" applyAlignment="1" applyProtection="1">
      <alignment horizontal="left" vertical="center"/>
      <protection hidden="1"/>
    </xf>
    <xf numFmtId="0" fontId="7" fillId="0" borderId="23" xfId="0" applyFont="1" applyBorder="1" applyAlignment="1" applyProtection="1">
      <protection hidden="1"/>
    </xf>
    <xf numFmtId="9" fontId="3" fillId="6" borderId="34" xfId="0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protection hidden="1"/>
    </xf>
    <xf numFmtId="0" fontId="4" fillId="0" borderId="48" xfId="0" applyFont="1" applyBorder="1" applyAlignment="1" applyProtection="1">
      <protection hidden="1"/>
    </xf>
    <xf numFmtId="0" fontId="7" fillId="0" borderId="41" xfId="0" applyFont="1" applyBorder="1" applyAlignment="1" applyProtection="1">
      <protection hidden="1"/>
    </xf>
    <xf numFmtId="164" fontId="9" fillId="4" borderId="34" xfId="0" applyNumberFormat="1" applyFont="1" applyFill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protection hidden="1"/>
    </xf>
    <xf numFmtId="164" fontId="3" fillId="4" borderId="34" xfId="0" applyNumberFormat="1" applyFont="1" applyFill="1" applyBorder="1" applyAlignment="1" applyProtection="1">
      <alignment horizontal="left"/>
      <protection hidden="1"/>
    </xf>
    <xf numFmtId="6" fontId="3" fillId="4" borderId="1" xfId="0" applyNumberFormat="1" applyFont="1" applyFill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0" fontId="3" fillId="0" borderId="17" xfId="0" applyFont="1" applyBorder="1" applyAlignment="1" applyProtection="1">
      <protection hidden="1"/>
    </xf>
    <xf numFmtId="164" fontId="3" fillId="4" borderId="33" xfId="0" applyNumberFormat="1" applyFont="1" applyFill="1" applyBorder="1" applyAlignment="1" applyProtection="1">
      <alignment horizontal="left"/>
      <protection hidden="1"/>
    </xf>
    <xf numFmtId="9" fontId="3" fillId="6" borderId="1" xfId="0" applyNumberFormat="1" applyFont="1" applyFill="1" applyBorder="1" applyAlignment="1" applyProtection="1">
      <protection hidden="1"/>
    </xf>
    <xf numFmtId="165" fontId="3" fillId="4" borderId="1" xfId="0" applyNumberFormat="1" applyFont="1" applyFill="1" applyBorder="1" applyAlignment="1" applyProtection="1">
      <alignment horizontal="left" indent="1"/>
      <protection hidden="1"/>
    </xf>
    <xf numFmtId="165" fontId="3" fillId="4" borderId="23" xfId="0" applyNumberFormat="1" applyFont="1" applyFill="1" applyBorder="1" applyAlignment="1" applyProtection="1">
      <alignment horizontal="left" indent="1"/>
      <protection hidden="1"/>
    </xf>
    <xf numFmtId="3" fontId="3" fillId="4" borderId="14" xfId="0" applyNumberFormat="1" applyFont="1" applyFill="1" applyBorder="1" applyAlignment="1" applyProtection="1">
      <alignment horizontal="left" indent="1"/>
      <protection hidden="1"/>
    </xf>
    <xf numFmtId="6" fontId="9" fillId="5" borderId="11" xfId="0" applyNumberFormat="1" applyFont="1" applyFill="1" applyBorder="1" applyAlignment="1" applyProtection="1">
      <alignment horizontal="left" vertical="center"/>
      <protection hidden="1"/>
    </xf>
    <xf numFmtId="8" fontId="9" fillId="4" borderId="11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Border="1"/>
    <xf numFmtId="6" fontId="7" fillId="0" borderId="0" xfId="0" applyNumberFormat="1" applyFont="1"/>
    <xf numFmtId="165" fontId="9" fillId="5" borderId="15" xfId="0" applyNumberFormat="1" applyFont="1" applyFill="1" applyBorder="1" applyAlignment="1" applyProtection="1">
      <alignment horizontal="left"/>
      <protection hidden="1"/>
    </xf>
    <xf numFmtId="3" fontId="9" fillId="3" borderId="11" xfId="0" applyNumberFormat="1" applyFont="1" applyFill="1" applyBorder="1" applyAlignment="1" applyProtection="1">
      <alignment horizontal="center" vertical="center"/>
      <protection locked="0"/>
    </xf>
    <xf numFmtId="164" fontId="9" fillId="7" borderId="49" xfId="0" applyNumberFormat="1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164" fontId="3" fillId="0" borderId="0" xfId="0" applyNumberFormat="1" applyFont="1"/>
    <xf numFmtId="9" fontId="9" fillId="4" borderId="34" xfId="0" applyNumberFormat="1" applyFont="1" applyFill="1" applyBorder="1" applyAlignment="1" applyProtection="1">
      <alignment horizontal="left"/>
      <protection hidden="1"/>
    </xf>
    <xf numFmtId="164" fontId="12" fillId="0" borderId="36" xfId="0" applyNumberFormat="1" applyFont="1" applyBorder="1" applyAlignment="1">
      <alignment horizontal="right" vertical="top"/>
    </xf>
    <xf numFmtId="0" fontId="15" fillId="0" borderId="36" xfId="0" applyFont="1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1" fillId="0" borderId="0" xfId="0" applyFont="1" applyAlignment="1"/>
    <xf numFmtId="0" fontId="13" fillId="0" borderId="0" xfId="0" applyFont="1" applyBorder="1" applyAlignment="1" applyProtection="1">
      <alignment horizontal="center" vertical="center" wrapText="1"/>
      <protection hidden="1"/>
    </xf>
    <xf numFmtId="0" fontId="16" fillId="0" borderId="50" xfId="0" applyFont="1" applyBorder="1" applyAlignment="1">
      <alignment horizontal="right" wrapText="1"/>
    </xf>
    <xf numFmtId="0" fontId="17" fillId="0" borderId="51" xfId="0" applyFont="1" applyBorder="1" applyAlignment="1">
      <alignment horizontal="center" vertical="center"/>
    </xf>
    <xf numFmtId="164" fontId="7" fillId="0" borderId="0" xfId="0" applyNumberFormat="1" applyFont="1"/>
    <xf numFmtId="0" fontId="4" fillId="4" borderId="52" xfId="0" applyFont="1" applyFill="1" applyBorder="1" applyAlignment="1" applyProtection="1">
      <alignment horizontal="right"/>
      <protection hidden="1"/>
    </xf>
    <xf numFmtId="0" fontId="4" fillId="0" borderId="53" xfId="0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 applyProtection="1">
      <alignment horizontal="right"/>
      <protection hidden="1"/>
    </xf>
    <xf numFmtId="8" fontId="9" fillId="2" borderId="1" xfId="0" applyNumberFormat="1" applyFont="1" applyFill="1" applyBorder="1" applyAlignment="1" applyProtection="1">
      <alignment horizontal="left" indent="1"/>
      <protection locked="0"/>
    </xf>
    <xf numFmtId="0" fontId="9" fillId="2" borderId="3" xfId="0" applyFont="1" applyFill="1" applyBorder="1" applyProtection="1">
      <protection locked="0"/>
    </xf>
    <xf numFmtId="0" fontId="14" fillId="8" borderId="77" xfId="0" applyFont="1" applyFill="1" applyBorder="1" applyAlignment="1" applyProtection="1">
      <alignment horizontal="right" wrapText="1"/>
      <protection hidden="1"/>
    </xf>
    <xf numFmtId="0" fontId="16" fillId="0" borderId="78" xfId="0" applyFont="1" applyBorder="1" applyAlignment="1">
      <alignment horizontal="right" wrapText="1"/>
    </xf>
    <xf numFmtId="165" fontId="8" fillId="8" borderId="79" xfId="0" applyNumberFormat="1" applyFont="1" applyFill="1" applyBorder="1" applyAlignment="1" applyProtection="1">
      <alignment horizontal="center" vertical="center"/>
      <protection hidden="1"/>
    </xf>
    <xf numFmtId="0" fontId="17" fillId="0" borderId="8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4" fontId="9" fillId="4" borderId="74" xfId="0" applyNumberFormat="1" applyFont="1" applyFill="1" applyBorder="1" applyAlignment="1" applyProtection="1">
      <alignment horizontal="center"/>
      <protection hidden="1"/>
    </xf>
    <xf numFmtId="164" fontId="9" fillId="4" borderId="75" xfId="0" applyNumberFormat="1" applyFont="1" applyFill="1" applyBorder="1" applyAlignment="1" applyProtection="1">
      <alignment horizontal="center"/>
      <protection hidden="1"/>
    </xf>
    <xf numFmtId="3" fontId="3" fillId="2" borderId="67" xfId="0" applyNumberFormat="1" applyFont="1" applyFill="1" applyBorder="1" applyAlignment="1" applyProtection="1">
      <alignment horizontal="center"/>
      <protection locked="0"/>
    </xf>
    <xf numFmtId="3" fontId="3" fillId="2" borderId="75" xfId="0" applyNumberFormat="1" applyFont="1" applyFill="1" applyBorder="1" applyAlignment="1" applyProtection="1">
      <alignment horizontal="center"/>
      <protection locked="0"/>
    </xf>
    <xf numFmtId="1" fontId="3" fillId="2" borderId="22" xfId="0" applyNumberFormat="1" applyFont="1" applyFill="1" applyBorder="1" applyAlignment="1" applyProtection="1">
      <alignment horizontal="right" vertical="center" indent="3"/>
      <protection locked="0"/>
    </xf>
    <xf numFmtId="1" fontId="3" fillId="0" borderId="45" xfId="0" applyNumberFormat="1" applyFont="1" applyBorder="1" applyAlignment="1" applyProtection="1">
      <alignment horizontal="right" vertical="center" indent="3"/>
      <protection locked="0"/>
    </xf>
    <xf numFmtId="0" fontId="8" fillId="0" borderId="6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wrapText="1"/>
    </xf>
    <xf numFmtId="0" fontId="3" fillId="0" borderId="73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47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3" fillId="0" borderId="2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3" fillId="0" borderId="2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3" fillId="2" borderId="25" xfId="0" applyNumberFormat="1" applyFont="1" applyFill="1" applyBorder="1" applyAlignment="1" applyProtection="1">
      <alignment horizontal="right" vertical="center" indent="3"/>
      <protection locked="0"/>
    </xf>
    <xf numFmtId="1" fontId="3" fillId="2" borderId="76" xfId="0" applyNumberFormat="1" applyFont="1" applyFill="1" applyBorder="1" applyAlignment="1" applyProtection="1">
      <alignment horizontal="right" vertical="center" indent="3"/>
      <protection locked="0"/>
    </xf>
    <xf numFmtId="1" fontId="3" fillId="2" borderId="14" xfId="0" applyNumberFormat="1" applyFont="1" applyFill="1" applyBorder="1" applyAlignment="1" applyProtection="1">
      <alignment horizontal="right" vertical="center" indent="3"/>
      <protection locked="0"/>
    </xf>
    <xf numFmtId="1" fontId="3" fillId="2" borderId="20" xfId="0" applyNumberFormat="1" applyFont="1" applyFill="1" applyBorder="1" applyAlignment="1" applyProtection="1">
      <alignment horizontal="right" vertical="center" indent="3"/>
      <protection locked="0"/>
    </xf>
    <xf numFmtId="1" fontId="3" fillId="2" borderId="45" xfId="0" applyNumberFormat="1" applyFont="1" applyFill="1" applyBorder="1" applyAlignment="1" applyProtection="1">
      <alignment horizontal="right" vertical="center" indent="3"/>
      <protection locked="0"/>
    </xf>
    <xf numFmtId="1" fontId="3" fillId="2" borderId="1" xfId="0" applyNumberFormat="1" applyFont="1" applyFill="1" applyBorder="1" applyAlignment="1" applyProtection="1">
      <alignment horizontal="right" vertical="center" indent="3"/>
      <protection locked="0"/>
    </xf>
    <xf numFmtId="1" fontId="3" fillId="0" borderId="1" xfId="0" applyNumberFormat="1" applyFont="1" applyBorder="1" applyAlignment="1" applyProtection="1">
      <alignment horizontal="right" vertical="center" indent="3"/>
      <protection locked="0"/>
    </xf>
    <xf numFmtId="6" fontId="3" fillId="6" borderId="35" xfId="0" applyNumberFormat="1" applyFont="1" applyFill="1" applyBorder="1" applyAlignment="1" applyProtection="1">
      <alignment horizontal="right"/>
      <protection hidden="1"/>
    </xf>
    <xf numFmtId="0" fontId="7" fillId="0" borderId="55" xfId="0" applyFont="1" applyBorder="1" applyAlignment="1">
      <alignment horizontal="right"/>
    </xf>
    <xf numFmtId="0" fontId="7" fillId="0" borderId="45" xfId="0" applyFont="1" applyBorder="1" applyAlignment="1">
      <alignment horizontal="right"/>
    </xf>
    <xf numFmtId="8" fontId="12" fillId="0" borderId="56" xfId="0" applyNumberFormat="1" applyFont="1" applyFill="1" applyBorder="1" applyAlignment="1" applyProtection="1">
      <alignment horizontal="left" wrapText="1"/>
      <protection hidden="1"/>
    </xf>
    <xf numFmtId="0" fontId="11" fillId="0" borderId="56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41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3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4" fillId="0" borderId="2" xfId="0" applyFont="1" applyBorder="1" applyAlignment="1" applyProtection="1">
      <alignment wrapText="1"/>
      <protection hidden="1"/>
    </xf>
    <xf numFmtId="0" fontId="7" fillId="0" borderId="6" xfId="0" applyFont="1" applyBorder="1" applyAlignment="1">
      <alignment wrapText="1"/>
    </xf>
    <xf numFmtId="0" fontId="4" fillId="0" borderId="62" xfId="0" applyFont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hidden="1"/>
    </xf>
    <xf numFmtId="0" fontId="12" fillId="4" borderId="16" xfId="0" applyFont="1" applyFill="1" applyBorder="1" applyAlignment="1" applyProtection="1">
      <alignment horizontal="right"/>
      <protection hidden="1"/>
    </xf>
    <xf numFmtId="0" fontId="15" fillId="4" borderId="54" xfId="0" applyFont="1" applyFill="1" applyBorder="1" applyAlignment="1" applyProtection="1">
      <alignment horizontal="right"/>
      <protection hidden="1"/>
    </xf>
    <xf numFmtId="0" fontId="3" fillId="4" borderId="22" xfId="0" applyFont="1" applyFill="1" applyBorder="1" applyAlignment="1" applyProtection="1">
      <alignment horizontal="left"/>
      <protection hidden="1"/>
    </xf>
    <xf numFmtId="0" fontId="7" fillId="0" borderId="55" xfId="0" applyFont="1" applyBorder="1" applyAlignment="1" applyProtection="1">
      <alignment horizontal="left"/>
      <protection hidden="1"/>
    </xf>
    <xf numFmtId="0" fontId="7" fillId="0" borderId="56" xfId="0" applyFont="1" applyBorder="1" applyAlignment="1" applyProtection="1">
      <alignment horizontal="left"/>
      <protection hidden="1"/>
    </xf>
    <xf numFmtId="0" fontId="4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9" xfId="0" applyFont="1" applyBorder="1" applyAlignment="1"/>
    <xf numFmtId="0" fontId="3" fillId="0" borderId="22" xfId="0" applyFont="1" applyBorder="1" applyAlignment="1"/>
    <xf numFmtId="0" fontId="3" fillId="0" borderId="55" xfId="0" applyFont="1" applyBorder="1" applyAlignment="1"/>
    <xf numFmtId="0" fontId="3" fillId="0" borderId="4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</sheetPr>
  <dimension ref="A1:M76"/>
  <sheetViews>
    <sheetView workbookViewId="0">
      <selection activeCell="A5" sqref="A5"/>
    </sheetView>
  </sheetViews>
  <sheetFormatPr defaultRowHeight="12.75" x14ac:dyDescent="0.2"/>
  <cols>
    <col min="1" max="1" width="24.42578125" customWidth="1"/>
    <col min="2" max="2" width="11" customWidth="1"/>
    <col min="3" max="3" width="5.5703125" customWidth="1"/>
    <col min="4" max="4" width="9" customWidth="1"/>
    <col min="5" max="5" width="10.5703125" customWidth="1"/>
    <col min="6" max="6" width="14.85546875" customWidth="1"/>
    <col min="7" max="7" width="13.140625" customWidth="1"/>
    <col min="8" max="8" width="10" customWidth="1"/>
    <col min="9" max="9" width="0.28515625" hidden="1" customWidth="1"/>
    <col min="10" max="11" width="9.140625" hidden="1" customWidth="1"/>
  </cols>
  <sheetData>
    <row r="1" spans="1:8" ht="13.5" thickTop="1" x14ac:dyDescent="0.2">
      <c r="A1" s="188" t="s">
        <v>78</v>
      </c>
      <c r="B1" s="189"/>
      <c r="C1" s="189"/>
      <c r="D1" s="189"/>
      <c r="E1" s="189"/>
      <c r="F1" s="189"/>
      <c r="G1" s="190"/>
      <c r="H1" s="149"/>
    </row>
    <row r="2" spans="1:8" ht="13.5" thickBot="1" x14ac:dyDescent="0.25">
      <c r="A2" s="191"/>
      <c r="B2" s="192"/>
      <c r="C2" s="192"/>
      <c r="D2" s="192"/>
      <c r="E2" s="192"/>
      <c r="F2" s="192"/>
      <c r="G2" s="193"/>
      <c r="H2" s="149"/>
    </row>
    <row r="3" spans="1:8" ht="13.5" thickTop="1" x14ac:dyDescent="0.2">
      <c r="A3" s="3" t="s">
        <v>18</v>
      </c>
      <c r="B3" s="1"/>
      <c r="C3" s="194" t="s">
        <v>17</v>
      </c>
      <c r="D3" s="195"/>
      <c r="E3" s="15"/>
      <c r="F3" s="198" t="s">
        <v>25</v>
      </c>
      <c r="G3" s="77"/>
      <c r="H3" s="78"/>
    </row>
    <row r="4" spans="1:8" x14ac:dyDescent="0.2">
      <c r="A4" s="3" t="s">
        <v>16</v>
      </c>
      <c r="B4" s="90">
        <f>SUM(B3,B42:B50)</f>
        <v>0</v>
      </c>
      <c r="C4" s="196"/>
      <c r="D4" s="197"/>
      <c r="E4" s="11"/>
      <c r="F4" s="199"/>
      <c r="G4" s="37" t="str">
        <f>IF(E4&gt;0,SUM(E4,F42:F50),"")</f>
        <v/>
      </c>
      <c r="H4" s="78"/>
    </row>
    <row r="5" spans="1:8" x14ac:dyDescent="0.2">
      <c r="A5" s="29"/>
      <c r="B5" s="30"/>
      <c r="C5" s="200" t="s">
        <v>34</v>
      </c>
      <c r="D5" s="201"/>
      <c r="E5" s="28"/>
      <c r="F5" s="204" t="s">
        <v>26</v>
      </c>
      <c r="G5" s="38"/>
      <c r="H5" s="78"/>
    </row>
    <row r="6" spans="1:8" x14ac:dyDescent="0.2">
      <c r="A6" s="31"/>
      <c r="B6" s="32"/>
      <c r="C6" s="202"/>
      <c r="D6" s="203"/>
      <c r="E6" s="27"/>
      <c r="F6" s="205"/>
      <c r="G6" s="39" t="str">
        <f>IF(E6&gt;0,SUM(E6,E42:E50),"")</f>
        <v/>
      </c>
      <c r="H6" s="78"/>
    </row>
    <row r="7" spans="1:8" x14ac:dyDescent="0.2">
      <c r="A7" s="2" t="s">
        <v>0</v>
      </c>
      <c r="B7" s="36" t="e">
        <f>E4/B3/12</f>
        <v>#DIV/0!</v>
      </c>
      <c r="C7" s="206" t="s">
        <v>23</v>
      </c>
      <c r="D7" s="207"/>
      <c r="E7" s="34"/>
      <c r="F7" s="5" t="s">
        <v>20</v>
      </c>
      <c r="G7" s="39" t="str">
        <f>IF(E7&gt;0,(G4-(E7*B4)*12),G4)</f>
        <v/>
      </c>
      <c r="H7" s="78"/>
    </row>
    <row r="8" spans="1:8" ht="15.75" thickBot="1" x14ac:dyDescent="0.3">
      <c r="A8" s="2" t="s">
        <v>19</v>
      </c>
      <c r="B8" s="36" t="e">
        <f>(E6/B3)/12</f>
        <v>#DIV/0!</v>
      </c>
      <c r="C8" s="206" t="s">
        <v>27</v>
      </c>
      <c r="D8" s="207"/>
      <c r="E8" s="153"/>
      <c r="F8" s="13" t="s">
        <v>24</v>
      </c>
      <c r="G8" s="39" t="str">
        <f>IF(E8&gt;0,(G6-(E8*B4)*12),G6)</f>
        <v/>
      </c>
      <c r="H8" s="78"/>
    </row>
    <row r="9" spans="1:8" ht="17.25" thickTop="1" thickBot="1" x14ac:dyDescent="0.3">
      <c r="A9" s="8" t="s">
        <v>1</v>
      </c>
      <c r="B9" s="9" t="s">
        <v>2</v>
      </c>
      <c r="C9" s="208" t="s">
        <v>31</v>
      </c>
      <c r="D9" s="209"/>
      <c r="E9" s="10" t="s">
        <v>3</v>
      </c>
      <c r="F9" s="10" t="s">
        <v>32</v>
      </c>
      <c r="G9" s="12" t="s">
        <v>4</v>
      </c>
      <c r="H9" s="78"/>
    </row>
    <row r="10" spans="1:8" ht="13.5" thickTop="1" x14ac:dyDescent="0.2">
      <c r="A10" s="6" t="s">
        <v>35</v>
      </c>
      <c r="B10" s="79"/>
      <c r="C10" s="210"/>
      <c r="D10" s="211"/>
      <c r="E10" s="40">
        <f t="shared" ref="E10:E27" si="0">B10*C10/100</f>
        <v>0</v>
      </c>
      <c r="F10" s="41">
        <f t="shared" ref="F10:F27" si="1">IF(C10&gt;0,(100-C10),100)</f>
        <v>100</v>
      </c>
      <c r="G10" s="42">
        <f t="shared" ref="G10:G27" si="2">IF(F10&gt;1,F10/100*B10,"")</f>
        <v>0</v>
      </c>
      <c r="H10" s="78"/>
    </row>
    <row r="11" spans="1:8" x14ac:dyDescent="0.2">
      <c r="A11" s="7" t="s">
        <v>36</v>
      </c>
      <c r="B11" s="80"/>
      <c r="C11" s="212"/>
      <c r="D11" s="213"/>
      <c r="E11" s="43">
        <f t="shared" si="0"/>
        <v>0</v>
      </c>
      <c r="F11" s="44">
        <f t="shared" si="1"/>
        <v>100</v>
      </c>
      <c r="G11" s="45">
        <f t="shared" si="2"/>
        <v>0</v>
      </c>
      <c r="H11" s="78"/>
    </row>
    <row r="12" spans="1:8" x14ac:dyDescent="0.2">
      <c r="A12" s="4" t="s">
        <v>46</v>
      </c>
      <c r="B12" s="65"/>
      <c r="C12" s="186"/>
      <c r="D12" s="187"/>
      <c r="E12" s="46">
        <f t="shared" si="0"/>
        <v>0</v>
      </c>
      <c r="F12" s="44">
        <f t="shared" si="1"/>
        <v>100</v>
      </c>
      <c r="G12" s="45">
        <f t="shared" si="2"/>
        <v>0</v>
      </c>
      <c r="H12" s="78"/>
    </row>
    <row r="13" spans="1:8" x14ac:dyDescent="0.2">
      <c r="A13" s="33" t="s">
        <v>47</v>
      </c>
      <c r="B13" s="65"/>
      <c r="C13" s="186"/>
      <c r="D13" s="187"/>
      <c r="E13" s="46">
        <f t="shared" si="0"/>
        <v>0</v>
      </c>
      <c r="F13" s="44">
        <f t="shared" si="1"/>
        <v>100</v>
      </c>
      <c r="G13" s="45">
        <f t="shared" si="2"/>
        <v>0</v>
      </c>
      <c r="H13" s="78"/>
    </row>
    <row r="14" spans="1:8" x14ac:dyDescent="0.2">
      <c r="A14" s="4" t="s">
        <v>37</v>
      </c>
      <c r="B14" s="65"/>
      <c r="C14" s="186"/>
      <c r="D14" s="187"/>
      <c r="E14" s="46">
        <f t="shared" si="0"/>
        <v>0</v>
      </c>
      <c r="F14" s="44">
        <f t="shared" si="1"/>
        <v>100</v>
      </c>
      <c r="G14" s="45">
        <f t="shared" si="2"/>
        <v>0</v>
      </c>
      <c r="H14" s="78"/>
    </row>
    <row r="15" spans="1:8" x14ac:dyDescent="0.2">
      <c r="A15" s="4" t="s">
        <v>38</v>
      </c>
      <c r="B15" s="65"/>
      <c r="C15" s="186"/>
      <c r="D15" s="187"/>
      <c r="E15" s="46">
        <f t="shared" si="0"/>
        <v>0</v>
      </c>
      <c r="F15" s="44">
        <f t="shared" si="1"/>
        <v>100</v>
      </c>
      <c r="G15" s="45">
        <f t="shared" si="2"/>
        <v>0</v>
      </c>
      <c r="H15" s="78"/>
    </row>
    <row r="16" spans="1:8" x14ac:dyDescent="0.2">
      <c r="A16" s="4" t="s">
        <v>39</v>
      </c>
      <c r="B16" s="65"/>
      <c r="C16" s="186"/>
      <c r="D16" s="187"/>
      <c r="E16" s="46">
        <f t="shared" si="0"/>
        <v>0</v>
      </c>
      <c r="F16" s="44">
        <f t="shared" si="1"/>
        <v>100</v>
      </c>
      <c r="G16" s="45">
        <f t="shared" si="2"/>
        <v>0</v>
      </c>
      <c r="H16" s="78"/>
    </row>
    <row r="17" spans="1:10" x14ac:dyDescent="0.2">
      <c r="A17" s="4" t="s">
        <v>40</v>
      </c>
      <c r="B17" s="65"/>
      <c r="C17" s="186"/>
      <c r="D17" s="187"/>
      <c r="E17" s="46">
        <f t="shared" si="0"/>
        <v>0</v>
      </c>
      <c r="F17" s="44">
        <f t="shared" si="1"/>
        <v>100</v>
      </c>
      <c r="G17" s="45">
        <f t="shared" si="2"/>
        <v>0</v>
      </c>
      <c r="H17" s="78"/>
    </row>
    <row r="18" spans="1:10" x14ac:dyDescent="0.2">
      <c r="A18" s="4" t="s">
        <v>41</v>
      </c>
      <c r="B18" s="65"/>
      <c r="C18" s="186"/>
      <c r="D18" s="187"/>
      <c r="E18" s="46">
        <f t="shared" si="0"/>
        <v>0</v>
      </c>
      <c r="F18" s="44">
        <f t="shared" si="1"/>
        <v>100</v>
      </c>
      <c r="G18" s="45">
        <f t="shared" si="2"/>
        <v>0</v>
      </c>
      <c r="H18" s="78"/>
    </row>
    <row r="19" spans="1:10" x14ac:dyDescent="0.2">
      <c r="A19" s="4" t="s">
        <v>42</v>
      </c>
      <c r="B19" s="65"/>
      <c r="C19" s="186"/>
      <c r="D19" s="187"/>
      <c r="E19" s="46">
        <f t="shared" si="0"/>
        <v>0</v>
      </c>
      <c r="F19" s="44">
        <f t="shared" si="1"/>
        <v>100</v>
      </c>
      <c r="G19" s="45">
        <f t="shared" si="2"/>
        <v>0</v>
      </c>
      <c r="H19" s="78"/>
    </row>
    <row r="20" spans="1:10" x14ac:dyDescent="0.2">
      <c r="A20" s="4" t="s">
        <v>43</v>
      </c>
      <c r="B20" s="65"/>
      <c r="C20" s="186"/>
      <c r="D20" s="187"/>
      <c r="E20" s="46">
        <f t="shared" si="0"/>
        <v>0</v>
      </c>
      <c r="F20" s="44">
        <f t="shared" si="1"/>
        <v>100</v>
      </c>
      <c r="G20" s="45">
        <f t="shared" si="2"/>
        <v>0</v>
      </c>
      <c r="H20" s="78"/>
    </row>
    <row r="21" spans="1:10" x14ac:dyDescent="0.2">
      <c r="A21" s="4" t="s">
        <v>44</v>
      </c>
      <c r="B21" s="65"/>
      <c r="C21" s="186"/>
      <c r="D21" s="187"/>
      <c r="E21" s="46">
        <f t="shared" si="0"/>
        <v>0</v>
      </c>
      <c r="F21" s="44">
        <f t="shared" si="1"/>
        <v>100</v>
      </c>
      <c r="G21" s="45">
        <f t="shared" si="2"/>
        <v>0</v>
      </c>
      <c r="H21" s="78"/>
    </row>
    <row r="22" spans="1:10" x14ac:dyDescent="0.2">
      <c r="A22" s="4" t="s">
        <v>45</v>
      </c>
      <c r="B22" s="65"/>
      <c r="C22" s="186"/>
      <c r="D22" s="187"/>
      <c r="E22" s="46">
        <f t="shared" si="0"/>
        <v>0</v>
      </c>
      <c r="F22" s="44">
        <f t="shared" si="1"/>
        <v>100</v>
      </c>
      <c r="G22" s="45">
        <f t="shared" si="2"/>
        <v>0</v>
      </c>
      <c r="H22" s="78"/>
    </row>
    <row r="23" spans="1:10" x14ac:dyDescent="0.2">
      <c r="A23" s="4" t="s">
        <v>63</v>
      </c>
      <c r="B23" s="65"/>
      <c r="C23" s="215"/>
      <c r="D23" s="216"/>
      <c r="E23" s="46">
        <f t="shared" si="0"/>
        <v>0</v>
      </c>
      <c r="F23" s="47">
        <f t="shared" si="1"/>
        <v>100</v>
      </c>
      <c r="G23" s="48">
        <f t="shared" si="2"/>
        <v>0</v>
      </c>
      <c r="H23" s="78"/>
    </row>
    <row r="24" spans="1:10" x14ac:dyDescent="0.2">
      <c r="A24" s="4" t="s">
        <v>64</v>
      </c>
      <c r="B24" s="65"/>
      <c r="C24" s="186"/>
      <c r="D24" s="187"/>
      <c r="E24" s="46">
        <f t="shared" si="0"/>
        <v>0</v>
      </c>
      <c r="F24" s="47">
        <f t="shared" si="1"/>
        <v>100</v>
      </c>
      <c r="G24" s="48">
        <f t="shared" si="2"/>
        <v>0</v>
      </c>
      <c r="H24" s="78"/>
    </row>
    <row r="25" spans="1:10" x14ac:dyDescent="0.2">
      <c r="A25" s="4"/>
      <c r="B25" s="65"/>
      <c r="C25" s="186"/>
      <c r="D25" s="214"/>
      <c r="E25" s="46">
        <f t="shared" si="0"/>
        <v>0</v>
      </c>
      <c r="F25" s="47">
        <f t="shared" si="1"/>
        <v>100</v>
      </c>
      <c r="G25" s="48">
        <f t="shared" si="2"/>
        <v>0</v>
      </c>
      <c r="H25" s="78"/>
    </row>
    <row r="26" spans="1:10" x14ac:dyDescent="0.2">
      <c r="A26" s="4"/>
      <c r="B26" s="65"/>
      <c r="C26" s="186"/>
      <c r="D26" s="214"/>
      <c r="E26" s="46">
        <f t="shared" si="0"/>
        <v>0</v>
      </c>
      <c r="F26" s="47">
        <f t="shared" si="1"/>
        <v>100</v>
      </c>
      <c r="G26" s="48">
        <f t="shared" si="2"/>
        <v>0</v>
      </c>
      <c r="H26" s="78"/>
    </row>
    <row r="27" spans="1:10" ht="13.5" thickBot="1" x14ac:dyDescent="0.25">
      <c r="A27" s="4"/>
      <c r="B27" s="65"/>
      <c r="C27" s="215"/>
      <c r="D27" s="216"/>
      <c r="E27" s="46">
        <f t="shared" si="0"/>
        <v>0</v>
      </c>
      <c r="F27" s="47">
        <f t="shared" si="1"/>
        <v>100</v>
      </c>
      <c r="G27" s="48">
        <f t="shared" si="2"/>
        <v>0</v>
      </c>
      <c r="H27" s="78"/>
      <c r="J27" s="91"/>
    </row>
    <row r="28" spans="1:10" ht="13.5" thickTop="1" x14ac:dyDescent="0.2">
      <c r="A28" s="126" t="s">
        <v>5</v>
      </c>
      <c r="B28" s="147">
        <f>SUM(B10:B27)</f>
        <v>0</v>
      </c>
      <c r="C28" s="127"/>
      <c r="D28" s="128"/>
      <c r="E28" s="49">
        <f>SUM(E10:E27)</f>
        <v>0</v>
      </c>
      <c r="F28" s="129"/>
      <c r="G28" s="130">
        <f>SUM(G10:G27)</f>
        <v>0</v>
      </c>
      <c r="H28" s="78"/>
    </row>
    <row r="29" spans="1:10" x14ac:dyDescent="0.2">
      <c r="A29" s="217" t="s">
        <v>11</v>
      </c>
      <c r="B29" s="218"/>
      <c r="C29" s="218"/>
      <c r="D29" s="219"/>
      <c r="E29" s="143" t="e">
        <f>E28/B28</f>
        <v>#DIV/0!</v>
      </c>
      <c r="F29" s="131"/>
      <c r="G29" s="132" t="e">
        <f>G28/B28</f>
        <v>#DIV/0!</v>
      </c>
      <c r="H29" s="78"/>
      <c r="J29" s="96"/>
    </row>
    <row r="30" spans="1:10" ht="13.5" thickBot="1" x14ac:dyDescent="0.25">
      <c r="A30" s="51" t="s">
        <v>59</v>
      </c>
      <c r="B30" s="148" t="e">
        <f>ROUNDUP((E28/B4/12),2)</f>
        <v>#DIV/0!</v>
      </c>
      <c r="C30" s="220" t="s">
        <v>77</v>
      </c>
      <c r="D30" s="221"/>
      <c r="E30" s="221"/>
      <c r="F30" s="133"/>
      <c r="G30" s="134"/>
      <c r="H30" s="78"/>
    </row>
    <row r="31" spans="1:10" ht="13.5" customHeight="1" thickTop="1" thickBot="1" x14ac:dyDescent="0.25">
      <c r="A31" s="88" t="s">
        <v>62</v>
      </c>
      <c r="B31" s="50" t="e">
        <f>IF(E4&gt;0,B30+G33,B30+G36)</f>
        <v>#DIV/0!</v>
      </c>
      <c r="C31" s="222"/>
      <c r="D31" s="222"/>
      <c r="E31" s="222"/>
      <c r="F31" s="241" t="s">
        <v>28</v>
      </c>
      <c r="G31" s="135"/>
      <c r="H31" s="78"/>
    </row>
    <row r="32" spans="1:10" ht="14.25" customHeight="1" thickTop="1" x14ac:dyDescent="0.2">
      <c r="A32" s="51" t="s">
        <v>65</v>
      </c>
      <c r="B32" s="81" t="e">
        <f>IF(E4&gt;1,B30+G33+((B7/1000)*G32),B30+G36+((B8/100)*G35))</f>
        <v>#DIV/0!</v>
      </c>
      <c r="C32" s="89" t="e">
        <f>(B32-B31)/B31</f>
        <v>#DIV/0!</v>
      </c>
      <c r="D32" s="111" t="s">
        <v>76</v>
      </c>
      <c r="E32" s="124"/>
      <c r="F32" s="240"/>
      <c r="G32" s="136" t="e">
        <f>(G28/G7)*1000</f>
        <v>#VALUE!</v>
      </c>
      <c r="H32" s="78"/>
    </row>
    <row r="33" spans="1:8" x14ac:dyDescent="0.2">
      <c r="A33" s="112" t="s">
        <v>21</v>
      </c>
      <c r="B33" s="125"/>
      <c r="C33" s="52"/>
      <c r="D33" s="83"/>
      <c r="E33" s="82"/>
      <c r="F33" s="137" t="s">
        <v>6</v>
      </c>
      <c r="G33" s="138" t="e">
        <f>IF(E7&gt;0,(B7-E7)/1000*G32,B7/1000*G32)</f>
        <v>#DIV/0!</v>
      </c>
      <c r="H33" s="14"/>
    </row>
    <row r="34" spans="1:8" x14ac:dyDescent="0.2">
      <c r="A34" s="53" t="s">
        <v>7</v>
      </c>
      <c r="B34" s="139" t="e">
        <f>B4*B30*12</f>
        <v>#DIV/0!</v>
      </c>
      <c r="C34" s="54"/>
      <c r="D34" s="83"/>
      <c r="E34" s="82"/>
      <c r="F34" s="239" t="s">
        <v>29</v>
      </c>
      <c r="G34" s="140"/>
      <c r="H34" s="78"/>
    </row>
    <row r="35" spans="1:8" ht="12.75" customHeight="1" x14ac:dyDescent="0.2">
      <c r="A35" s="51" t="s">
        <v>8</v>
      </c>
      <c r="B35" s="139" t="e">
        <f>IF(E4&gt;1,(G7/1000)*G32,(G8/100)*G35)</f>
        <v>#VALUE!</v>
      </c>
      <c r="C35" s="54"/>
      <c r="D35" s="83"/>
      <c r="E35" s="82"/>
      <c r="F35" s="240"/>
      <c r="G35" s="136" t="e">
        <f>(G28/G8)*100</f>
        <v>#VALUE!</v>
      </c>
      <c r="H35" s="78"/>
    </row>
    <row r="36" spans="1:8" ht="13.5" thickBot="1" x14ac:dyDescent="0.25">
      <c r="A36" s="55" t="s">
        <v>9</v>
      </c>
      <c r="B36" s="152" t="e">
        <f>SUM(B34,B35)</f>
        <v>#DIV/0!</v>
      </c>
      <c r="C36" s="56"/>
      <c r="D36" s="57"/>
      <c r="E36" s="85"/>
      <c r="F36" s="141" t="s">
        <v>6</v>
      </c>
      <c r="G36" s="142" t="e">
        <f>IF(E8&gt;0,(B8-E8)/100*G35,B8/100*G35)</f>
        <v>#DIV/0!</v>
      </c>
      <c r="H36" s="84"/>
    </row>
    <row r="37" spans="1:8" ht="13.5" thickTop="1" x14ac:dyDescent="0.2">
      <c r="A37" s="77"/>
      <c r="B37" s="77"/>
      <c r="C37" s="77"/>
      <c r="D37" s="77"/>
      <c r="E37" s="77"/>
      <c r="F37" s="77"/>
      <c r="G37" s="150"/>
      <c r="H37" s="110"/>
    </row>
    <row r="38" spans="1:8" x14ac:dyDescent="0.2">
      <c r="A38" s="86"/>
      <c r="B38" s="86"/>
      <c r="C38" s="86"/>
      <c r="D38" s="86"/>
      <c r="E38" s="86"/>
      <c r="F38" s="86"/>
      <c r="G38" s="86"/>
      <c r="H38" s="86"/>
    </row>
    <row r="39" spans="1:8" ht="13.5" thickBot="1" x14ac:dyDescent="0.25">
      <c r="A39" s="86"/>
      <c r="B39" s="86"/>
      <c r="C39" s="86"/>
      <c r="D39" s="86"/>
      <c r="E39" s="86"/>
      <c r="F39" s="87"/>
      <c r="G39" s="86"/>
      <c r="H39" s="77"/>
    </row>
    <row r="40" spans="1:8" ht="13.5" thickTop="1" x14ac:dyDescent="0.2">
      <c r="A40" s="231" t="s">
        <v>12</v>
      </c>
      <c r="B40" s="233" t="s">
        <v>15</v>
      </c>
      <c r="C40" s="233" t="s">
        <v>30</v>
      </c>
      <c r="D40" s="233" t="s">
        <v>13</v>
      </c>
      <c r="E40" s="235" t="s">
        <v>33</v>
      </c>
      <c r="F40" s="237" t="s">
        <v>14</v>
      </c>
      <c r="G40" s="248" t="s">
        <v>22</v>
      </c>
      <c r="H40" s="223" t="s">
        <v>10</v>
      </c>
    </row>
    <row r="41" spans="1:8" ht="13.5" thickBot="1" x14ac:dyDescent="0.25">
      <c r="A41" s="232"/>
      <c r="B41" s="234"/>
      <c r="C41" s="234"/>
      <c r="D41" s="234"/>
      <c r="E41" s="236"/>
      <c r="F41" s="238"/>
      <c r="G41" s="249"/>
      <c r="H41" s="224"/>
    </row>
    <row r="42" spans="1:8" ht="13.5" thickTop="1" x14ac:dyDescent="0.2">
      <c r="A42" s="24"/>
      <c r="B42" s="16"/>
      <c r="C42" s="17"/>
      <c r="D42" s="58" t="e">
        <f>IF(F42&gt;0,(F42/B7/12)*(C42/100),(E42/B8/12)*(C42/100))</f>
        <v>#DIV/0!</v>
      </c>
      <c r="E42" s="18"/>
      <c r="F42" s="19"/>
      <c r="G42" s="60" t="e">
        <f>B30*B42</f>
        <v>#DIV/0!</v>
      </c>
      <c r="H42" s="61" t="e">
        <f>IF(F42&gt;0,G42+(F42-(E7*B42*12))/12/1000*G32,G42+(((E42-(E8*B42*12))/12/100*G35)))</f>
        <v>#DIV/0!</v>
      </c>
    </row>
    <row r="43" spans="1:8" x14ac:dyDescent="0.2">
      <c r="A43" s="25"/>
      <c r="B43" s="16"/>
      <c r="C43" s="17"/>
      <c r="D43" s="58" t="e">
        <f>IF(F43&gt;0,(F43/B7/12)*(C43/100),(E43/B8/12)*(C43/100))</f>
        <v>#DIV/0!</v>
      </c>
      <c r="E43" s="18"/>
      <c r="F43" s="19"/>
      <c r="G43" s="62" t="e">
        <f>B30*B43</f>
        <v>#DIV/0!</v>
      </c>
      <c r="H43" s="61" t="e">
        <f>IF(F43&gt;0,G43+(F43-(E7*B43*12))/12/1000*G32,G43+(((E43-(E8*B43*12))/12/100*G35)))</f>
        <v>#DIV/0!</v>
      </c>
    </row>
    <row r="44" spans="1:8" x14ac:dyDescent="0.2">
      <c r="A44" s="25"/>
      <c r="B44" s="16"/>
      <c r="C44" s="17"/>
      <c r="D44" s="58" t="e">
        <f>IF(F44&gt;0,(F44/B7/12)*(C44/100),(E44/B8/12)*(C44/100))</f>
        <v>#DIV/0!</v>
      </c>
      <c r="E44" s="18"/>
      <c r="F44" s="19"/>
      <c r="G44" s="62" t="e">
        <f>B30*B44</f>
        <v>#DIV/0!</v>
      </c>
      <c r="H44" s="61" t="e">
        <f>IF(F44&gt;0,G44+(F44-(E7*B44*12))/12/1000*G32,G44+(((E44-(E8*B44*12))/12/100*G35)))</f>
        <v>#DIV/0!</v>
      </c>
    </row>
    <row r="45" spans="1:8" x14ac:dyDescent="0.2">
      <c r="A45" s="25"/>
      <c r="B45" s="16"/>
      <c r="C45" s="17"/>
      <c r="D45" s="58" t="e">
        <f>IF(F45&gt;0,(F45/B7/12)*(C45/100),(E45/B8/12)*(C45/100))</f>
        <v>#DIV/0!</v>
      </c>
      <c r="E45" s="18"/>
      <c r="F45" s="19"/>
      <c r="G45" s="62" t="e">
        <f>B30*B45</f>
        <v>#DIV/0!</v>
      </c>
      <c r="H45" s="61" t="e">
        <f>IF(F45&gt;0,G45+(F45-(E7*B45*12))/12/1000*G32,G45+(((E45-(E8*B45*12))/12/100*G35)))</f>
        <v>#DIV/0!</v>
      </c>
    </row>
    <row r="46" spans="1:8" x14ac:dyDescent="0.2">
      <c r="A46" s="25"/>
      <c r="B46" s="16"/>
      <c r="C46" s="17"/>
      <c r="D46" s="58" t="e">
        <f>IF(F46&gt;0,(F46/B7/12)*(C46/100),(E46/B8/12)*(C46/100))</f>
        <v>#DIV/0!</v>
      </c>
      <c r="E46" s="18"/>
      <c r="F46" s="19"/>
      <c r="G46" s="62" t="e">
        <f>B30*B46</f>
        <v>#DIV/0!</v>
      </c>
      <c r="H46" s="61" t="e">
        <f>IF(F46&gt;0,G46+(F46-(E7*B46*12))/12/1000*G32,G46+(((E46-(E8*B46*12))/12/100*G35)))</f>
        <v>#DIV/0!</v>
      </c>
    </row>
    <row r="47" spans="1:8" x14ac:dyDescent="0.2">
      <c r="A47" s="25"/>
      <c r="B47" s="16"/>
      <c r="C47" s="17"/>
      <c r="D47" s="58" t="e">
        <f>IF(F47&gt;0,(F47/B7/12)*(C47/100),(E47/B8/12)*(C47/100))</f>
        <v>#DIV/0!</v>
      </c>
      <c r="E47" s="18"/>
      <c r="F47" s="19"/>
      <c r="G47" s="62" t="e">
        <f>B30*B47</f>
        <v>#DIV/0!</v>
      </c>
      <c r="H47" s="61" t="e">
        <f>IF(F47&gt;0,G47+(F47-(E7*B47*12))/12/1000*G32,G47+(((E47-(E8*B47*12))/12/100*G35)))</f>
        <v>#DIV/0!</v>
      </c>
    </row>
    <row r="48" spans="1:8" x14ac:dyDescent="0.2">
      <c r="A48" s="25"/>
      <c r="B48" s="16"/>
      <c r="C48" s="17"/>
      <c r="D48" s="58" t="e">
        <f>IF(F48&gt;0,(F48/B7/12)*(C48/100),(E48/B8/12)*(C48/100))</f>
        <v>#DIV/0!</v>
      </c>
      <c r="E48" s="18"/>
      <c r="F48" s="19"/>
      <c r="G48" s="62" t="e">
        <f>B30*B48</f>
        <v>#DIV/0!</v>
      </c>
      <c r="H48" s="61" t="e">
        <f>IF(F48&gt;0,G48+(F48-(E7*B48*12))/12/1000*G32,G48+(((E48-(E8*B48*12))/12/100*G35)))</f>
        <v>#DIV/0!</v>
      </c>
    </row>
    <row r="49" spans="1:11" x14ac:dyDescent="0.2">
      <c r="A49" s="25"/>
      <c r="B49" s="16"/>
      <c r="C49" s="17"/>
      <c r="D49" s="58" t="e">
        <f>IF(F49&gt;0,(F49/B7/12)*(C49/100),(E49/B8/12)*(C49/100))</f>
        <v>#DIV/0!</v>
      </c>
      <c r="E49" s="18"/>
      <c r="F49" s="19"/>
      <c r="G49" s="62" t="e">
        <f>B30*B49</f>
        <v>#DIV/0!</v>
      </c>
      <c r="H49" s="61" t="e">
        <f>IF(F49&gt;0,G49+(F49-(E7*B49*12))/12/1000*G32,G49+(((E49-(E8*B49*12))/12/100*G35)))</f>
        <v>#DIV/0!</v>
      </c>
    </row>
    <row r="50" spans="1:11" ht="13.5" thickBot="1" x14ac:dyDescent="0.25">
      <c r="A50" s="26"/>
      <c r="B50" s="20"/>
      <c r="C50" s="21"/>
      <c r="D50" s="59" t="e">
        <f>IF(F50&gt;0,(F50/B7/12)*(C50/100),(E50/B8/12)*(C50/100))</f>
        <v>#DIV/0!</v>
      </c>
      <c r="E50" s="22"/>
      <c r="F50" s="23"/>
      <c r="G50" s="63" t="e">
        <f>B30*B50</f>
        <v>#DIV/0!</v>
      </c>
      <c r="H50" s="64" t="e">
        <f>IF(F50&gt;0,G50+(F50-(E7*B50*12))/12/1000*G32,G50+(((E50-(E8*B50*12))/12/100*G35)))</f>
        <v>#DIV/0!</v>
      </c>
    </row>
    <row r="51" spans="1:11" ht="13.5" thickTop="1" x14ac:dyDescent="0.2">
      <c r="A51" s="77"/>
      <c r="B51" s="77"/>
      <c r="C51" s="77"/>
      <c r="D51" s="77"/>
      <c r="E51" s="77"/>
      <c r="F51" s="77"/>
      <c r="G51" s="77"/>
      <c r="H51" s="77"/>
    </row>
    <row r="52" spans="1:11" x14ac:dyDescent="0.2">
      <c r="A52" s="77"/>
      <c r="B52" s="77"/>
      <c r="C52" s="77"/>
      <c r="D52" s="155"/>
      <c r="E52" s="77"/>
      <c r="F52" s="77"/>
      <c r="G52" s="77"/>
      <c r="H52" s="77"/>
    </row>
    <row r="53" spans="1:11" x14ac:dyDescent="0.2">
      <c r="A53" s="77"/>
      <c r="B53" s="77"/>
      <c r="C53" s="77"/>
      <c r="D53" s="77"/>
      <c r="E53" s="77"/>
      <c r="F53" s="77"/>
      <c r="G53" s="77"/>
      <c r="H53" s="77"/>
    </row>
    <row r="54" spans="1:11" x14ac:dyDescent="0.2">
      <c r="A54" s="77"/>
      <c r="B54" s="77"/>
      <c r="C54" s="77"/>
      <c r="D54" s="77"/>
      <c r="E54" s="77"/>
      <c r="F54" s="77"/>
      <c r="G54" s="77"/>
      <c r="H54" s="77"/>
    </row>
    <row r="55" spans="1:11" x14ac:dyDescent="0.2">
      <c r="A55" s="77"/>
      <c r="B55" s="77"/>
      <c r="C55" s="77"/>
      <c r="D55" s="77"/>
      <c r="E55" s="77"/>
      <c r="F55" s="77"/>
      <c r="G55" s="77"/>
      <c r="H55" s="77"/>
    </row>
    <row r="56" spans="1:11" x14ac:dyDescent="0.2">
      <c r="A56" s="77"/>
      <c r="B56" s="77"/>
      <c r="C56" s="77"/>
      <c r="D56" s="77"/>
      <c r="E56" s="77"/>
      <c r="F56" s="77"/>
      <c r="G56" s="77"/>
      <c r="H56" s="77"/>
    </row>
    <row r="57" spans="1:11" x14ac:dyDescent="0.2">
      <c r="A57" s="77"/>
      <c r="B57" s="77"/>
      <c r="C57" s="77"/>
      <c r="D57" s="77"/>
      <c r="E57" s="77"/>
      <c r="F57" s="77"/>
      <c r="G57" s="77"/>
      <c r="H57" s="77"/>
    </row>
    <row r="58" spans="1:11" ht="13.5" thickBot="1" x14ac:dyDescent="0.25">
      <c r="A58" s="77"/>
      <c r="B58" s="77"/>
      <c r="C58" s="77"/>
      <c r="D58" s="77"/>
      <c r="E58" s="77"/>
      <c r="F58" s="77"/>
      <c r="G58" s="77"/>
      <c r="H58" s="77"/>
    </row>
    <row r="59" spans="1:11" ht="17.25" thickTop="1" thickBot="1" x14ac:dyDescent="0.3">
      <c r="A59" s="225" t="s">
        <v>54</v>
      </c>
      <c r="B59" s="226"/>
      <c r="C59" s="226"/>
      <c r="D59" s="226"/>
      <c r="E59" s="226"/>
      <c r="F59" s="227"/>
      <c r="G59" s="77"/>
      <c r="H59" s="76"/>
    </row>
    <row r="60" spans="1:11" ht="13.5" thickTop="1" x14ac:dyDescent="0.2">
      <c r="A60" s="167" t="s">
        <v>87</v>
      </c>
      <c r="B60" s="74"/>
      <c r="C60" s="228" t="s">
        <v>55</v>
      </c>
      <c r="D60" s="229"/>
      <c r="E60" s="230"/>
      <c r="F60" s="102">
        <v>12</v>
      </c>
      <c r="G60" s="76"/>
      <c r="H60" s="77"/>
    </row>
    <row r="61" spans="1:11" x14ac:dyDescent="0.2">
      <c r="A61" s="168" t="s">
        <v>48</v>
      </c>
      <c r="B61" s="66"/>
      <c r="C61" s="250" t="s">
        <v>49</v>
      </c>
      <c r="D61" s="250"/>
      <c r="E61" s="250"/>
      <c r="F61" s="73"/>
      <c r="G61" s="76"/>
      <c r="H61" s="77"/>
    </row>
    <row r="62" spans="1:11" x14ac:dyDescent="0.2">
      <c r="A62" s="169" t="s">
        <v>85</v>
      </c>
      <c r="B62" s="67"/>
      <c r="C62" s="251" t="s">
        <v>86</v>
      </c>
      <c r="D62" s="252"/>
      <c r="E62" s="253"/>
      <c r="F62" s="68"/>
      <c r="G62" s="77"/>
      <c r="H62" s="77"/>
    </row>
    <row r="63" spans="1:11" ht="13.5" thickBot="1" x14ac:dyDescent="0.25">
      <c r="A63" s="170" t="s">
        <v>84</v>
      </c>
      <c r="B63" s="174"/>
      <c r="C63" s="35" t="s">
        <v>75</v>
      </c>
      <c r="D63" s="35"/>
      <c r="E63" s="35"/>
      <c r="F63" s="95"/>
      <c r="G63" s="77"/>
      <c r="H63" s="77"/>
      <c r="K63" s="100"/>
    </row>
    <row r="64" spans="1:11" ht="13.5" thickTop="1" x14ac:dyDescent="0.2">
      <c r="A64" s="170" t="s">
        <v>83</v>
      </c>
      <c r="B64" s="69"/>
      <c r="C64" s="35" t="s">
        <v>56</v>
      </c>
      <c r="D64" s="35"/>
      <c r="E64" s="35"/>
      <c r="F64" s="103" t="e">
        <f>IF(B65&gt;1,((F63)*B66)&amp;I64,(F63*B67)&amp;I65)</f>
        <v>#VALUE!</v>
      </c>
      <c r="G64" s="106" t="s">
        <v>66</v>
      </c>
      <c r="H64" s="119" t="str">
        <f>IF(B65&gt;0,B65-((F63*B66)),"")</f>
        <v/>
      </c>
      <c r="I64" t="s">
        <v>60</v>
      </c>
    </row>
    <row r="65" spans="1:13" ht="15" x14ac:dyDescent="0.2">
      <c r="A65" s="170" t="s">
        <v>57</v>
      </c>
      <c r="B65" s="98"/>
      <c r="C65" s="70" t="s">
        <v>58</v>
      </c>
      <c r="D65" s="35"/>
      <c r="E65" s="35"/>
      <c r="F65" s="104"/>
      <c r="G65" s="107" t="s">
        <v>67</v>
      </c>
      <c r="H65" s="120" t="str">
        <f>IF(F65&gt;0,F65-((F63*B67)),"")</f>
        <v/>
      </c>
      <c r="I65" t="s">
        <v>61</v>
      </c>
      <c r="K65" s="100"/>
    </row>
    <row r="66" spans="1:13" x14ac:dyDescent="0.2">
      <c r="A66" s="171" t="s">
        <v>50</v>
      </c>
      <c r="B66" s="99" t="str">
        <f>IF(B65&gt;1,B65-((B60*B61)*F60),"")</f>
        <v/>
      </c>
      <c r="C66" s="242" t="s">
        <v>51</v>
      </c>
      <c r="D66" s="242"/>
      <c r="E66" s="242"/>
      <c r="F66" s="146" t="str">
        <f>IF(B65&gt;1,B66-(B66*F63),"")</f>
        <v/>
      </c>
      <c r="G66" s="105" t="s">
        <v>68</v>
      </c>
      <c r="H66" s="108" t="str">
        <f>IF(B65&gt;1,H64/B60/F60,"")</f>
        <v/>
      </c>
      <c r="J66" s="96"/>
    </row>
    <row r="67" spans="1:13" x14ac:dyDescent="0.2">
      <c r="A67" s="171" t="s">
        <v>53</v>
      </c>
      <c r="B67" s="71" t="str">
        <f>IF(F65&gt;0,F65-((B60*F61)*F60),"")</f>
        <v/>
      </c>
      <c r="C67" s="75" t="s">
        <v>52</v>
      </c>
      <c r="D67" s="75"/>
      <c r="E67" s="75"/>
      <c r="F67" s="71" t="str">
        <f>IF(F65&gt;1,B67-(B67*F63),"")</f>
        <v/>
      </c>
      <c r="G67" s="72" t="s">
        <v>69</v>
      </c>
      <c r="H67" s="109" t="str">
        <f>IF(F65&gt;1,H65/B60/F60,"")</f>
        <v/>
      </c>
      <c r="J67" s="96"/>
    </row>
    <row r="68" spans="1:13" ht="13.5" thickBot="1" x14ac:dyDescent="0.25">
      <c r="A68" s="172" t="s">
        <v>81</v>
      </c>
      <c r="B68" s="144" t="e">
        <f>(B63)*(F66/1000)</f>
        <v>#VALUE!</v>
      </c>
      <c r="C68" s="245"/>
      <c r="D68" s="246"/>
      <c r="E68" s="247"/>
      <c r="F68" s="118" t="str">
        <f>"New rate bill"</f>
        <v>New rate bill</v>
      </c>
      <c r="G68" s="93" t="e">
        <f>IF(B65&gt;1,E69+((B61/1000)*B62)+(((H66-B61)/1000)*B63),E69+((F61/100)*F62)+(((H67-F61)/100)*B64))</f>
        <v>#VALUE!</v>
      </c>
      <c r="H68" s="157"/>
      <c r="I68" s="156" t="e">
        <f>IF(B65&gt;1,(B30+((H66/1000)*G32)),(B30+((H67/100)*G35)))</f>
        <v>#DIV/0!</v>
      </c>
      <c r="J68" s="96"/>
    </row>
    <row r="69" spans="1:13" ht="14.25" thickTop="1" thickBot="1" x14ac:dyDescent="0.25">
      <c r="A69" s="173" t="s">
        <v>82</v>
      </c>
      <c r="B69" s="145" t="e">
        <f>B64*(F67/100)</f>
        <v>#VALUE!</v>
      </c>
      <c r="C69" s="243" t="s">
        <v>79</v>
      </c>
      <c r="D69" s="244"/>
      <c r="E69" s="154"/>
      <c r="F69" s="166" t="s">
        <v>73</v>
      </c>
      <c r="G69" s="94" t="e">
        <f>IF(B65&gt;1,(H66/1000*B63),(H67/100)*B64)</f>
        <v>#VALUE!</v>
      </c>
      <c r="H69" s="92" t="e">
        <f>G69/G68</f>
        <v>#VALUE!</v>
      </c>
      <c r="I69" s="96" t="e">
        <f>IF(B65&gt;1,(B30+((H66*2/1000)*G32)),(B30+((H67*2/100)*G35)))</f>
        <v>#DIV/0!</v>
      </c>
    </row>
    <row r="70" spans="1:13" ht="18.75" customHeight="1" thickTop="1" x14ac:dyDescent="0.2">
      <c r="A70" s="176" t="s">
        <v>74</v>
      </c>
      <c r="B70" s="178" t="e">
        <f>IF(B65&gt;1,((E69*B60)*F60)+B68+(B61/1000*B62*B60*12),((E69*B60)*F60)+B69+((F61/100*F62*12*B60)))</f>
        <v>#VALUE!</v>
      </c>
      <c r="C70" s="121"/>
      <c r="D70" s="101"/>
      <c r="E70" s="113"/>
      <c r="F70" s="101"/>
      <c r="G70" s="158"/>
      <c r="H70" s="159"/>
    </row>
    <row r="71" spans="1:13" ht="9.75" customHeight="1" thickBot="1" x14ac:dyDescent="0.25">
      <c r="A71" s="177"/>
      <c r="B71" s="179"/>
      <c r="C71" s="162"/>
      <c r="D71" s="77"/>
      <c r="E71" s="151"/>
      <c r="F71" s="97"/>
      <c r="G71" s="160"/>
      <c r="H71" s="160"/>
      <c r="M71" s="116"/>
    </row>
    <row r="72" spans="1:13" ht="9.75" customHeight="1" thickTop="1" thickBot="1" x14ac:dyDescent="0.25">
      <c r="A72" s="163"/>
      <c r="B72" s="164"/>
      <c r="C72" s="122"/>
      <c r="D72" s="77"/>
      <c r="E72" s="151"/>
      <c r="F72" s="97"/>
      <c r="G72" s="160"/>
      <c r="H72" s="160"/>
      <c r="M72" s="116"/>
    </row>
    <row r="73" spans="1:13" ht="14.25" thickTop="1" thickBot="1" x14ac:dyDescent="0.25">
      <c r="A73" s="123" t="s">
        <v>70</v>
      </c>
      <c r="B73" s="180" t="s">
        <v>80</v>
      </c>
      <c r="C73" s="181"/>
      <c r="D73" s="181" t="s">
        <v>71</v>
      </c>
      <c r="E73" s="181"/>
      <c r="F73" s="114" t="s">
        <v>72</v>
      </c>
      <c r="G73" s="161"/>
      <c r="H73" s="161"/>
      <c r="J73" s="96"/>
    </row>
    <row r="74" spans="1:13" ht="13.5" customHeight="1" thickTop="1" thickBot="1" x14ac:dyDescent="0.25">
      <c r="A74" s="115"/>
      <c r="B74" s="182">
        <f>IF(D75&gt;0,D75,F75)</f>
        <v>0</v>
      </c>
      <c r="C74" s="183"/>
      <c r="D74" s="184"/>
      <c r="E74" s="185"/>
      <c r="F74" s="117"/>
      <c r="G74" s="77"/>
      <c r="H74" s="77"/>
      <c r="J74" s="96"/>
    </row>
    <row r="75" spans="1:13" ht="13.5" hidden="1" thickTop="1" x14ac:dyDescent="0.2">
      <c r="A75" s="77"/>
      <c r="B75" s="77"/>
      <c r="C75" s="77"/>
      <c r="D75" s="76">
        <f>IF(D74&gt;(F60*B61),E69+((B61/1000)*B62)+((((D74/F60)-B61)/1000)*B63),0)</f>
        <v>0</v>
      </c>
      <c r="E75" s="77"/>
      <c r="F75" s="165">
        <f>IF(F74&gt;F60*F61,E69+((F61/100)*F62)+((((F74/F60)-F61)/100)*B64),0)</f>
        <v>0</v>
      </c>
      <c r="G75" s="77"/>
      <c r="H75" s="77"/>
      <c r="J75" s="96"/>
    </row>
    <row r="76" spans="1:13" ht="13.5" thickTop="1" x14ac:dyDescent="0.2"/>
  </sheetData>
  <sheetProtection password="CC0D" sheet="1" objects="1" scenarios="1"/>
  <mergeCells count="51">
    <mergeCell ref="C66:E66"/>
    <mergeCell ref="C69:D69"/>
    <mergeCell ref="C68:E68"/>
    <mergeCell ref="G40:G41"/>
    <mergeCell ref="C61:E61"/>
    <mergeCell ref="C62:E62"/>
    <mergeCell ref="C30:E31"/>
    <mergeCell ref="H40:H41"/>
    <mergeCell ref="A59:F59"/>
    <mergeCell ref="C60:E60"/>
    <mergeCell ref="A40:A41"/>
    <mergeCell ref="B40:B41"/>
    <mergeCell ref="C40:C41"/>
    <mergeCell ref="D40:D41"/>
    <mergeCell ref="E40:E41"/>
    <mergeCell ref="F40:F41"/>
    <mergeCell ref="F34:F35"/>
    <mergeCell ref="F31:F32"/>
    <mergeCell ref="C26:D26"/>
    <mergeCell ref="C27:D27"/>
    <mergeCell ref="A29:D29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3:D13"/>
    <mergeCell ref="C14:D14"/>
    <mergeCell ref="A1:G2"/>
    <mergeCell ref="C3:D4"/>
    <mergeCell ref="F3:F4"/>
    <mergeCell ref="C5:D6"/>
    <mergeCell ref="F5:F6"/>
    <mergeCell ref="C7:D7"/>
    <mergeCell ref="C8:D8"/>
    <mergeCell ref="C9:D9"/>
    <mergeCell ref="C10:D10"/>
    <mergeCell ref="C11:D11"/>
    <mergeCell ref="C12:D12"/>
    <mergeCell ref="A70:A71"/>
    <mergeCell ref="B70:B71"/>
    <mergeCell ref="B73:C73"/>
    <mergeCell ref="D73:E73"/>
    <mergeCell ref="B74:C74"/>
    <mergeCell ref="D74:E74"/>
  </mergeCells>
  <phoneticPr fontId="2" type="noConversion"/>
  <pageMargins left="0" right="0" top="1" bottom="0.5" header="0.5" footer="0.5"/>
  <pageSetup orientation="portrait" r:id="rId1"/>
  <headerFooter alignWithMargins="0">
    <oddHeader>&amp;LWorksheet 12-6.xls&amp;CRate Setting Calculator</oddHeader>
    <oddFooter>&amp;L&amp;9Associated Document: Rate Setting Calculator 12-6.xlsx
Rev. June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M76"/>
  <sheetViews>
    <sheetView tabSelected="1" workbookViewId="0">
      <selection activeCell="C18" sqref="C18:D18"/>
    </sheetView>
  </sheetViews>
  <sheetFormatPr defaultRowHeight="12.75" x14ac:dyDescent="0.2"/>
  <cols>
    <col min="1" max="1" width="24.42578125" customWidth="1"/>
    <col min="2" max="2" width="11" customWidth="1"/>
    <col min="3" max="3" width="5.5703125" customWidth="1"/>
    <col min="4" max="4" width="9" customWidth="1"/>
    <col min="5" max="5" width="10.5703125" customWidth="1"/>
    <col min="6" max="6" width="14.85546875" customWidth="1"/>
    <col min="7" max="7" width="13.140625" customWidth="1"/>
    <col min="8" max="8" width="10" customWidth="1"/>
    <col min="9" max="9" width="0.28515625" hidden="1" customWidth="1"/>
    <col min="10" max="11" width="9.140625" hidden="1" customWidth="1"/>
  </cols>
  <sheetData>
    <row r="1" spans="1:8" ht="13.5" thickTop="1" x14ac:dyDescent="0.2">
      <c r="A1" s="188" t="s">
        <v>78</v>
      </c>
      <c r="B1" s="189"/>
      <c r="C1" s="189"/>
      <c r="D1" s="189"/>
      <c r="E1" s="189"/>
      <c r="F1" s="189"/>
      <c r="G1" s="190"/>
      <c r="H1" s="149"/>
    </row>
    <row r="2" spans="1:8" ht="13.5" thickBot="1" x14ac:dyDescent="0.25">
      <c r="A2" s="191"/>
      <c r="B2" s="192"/>
      <c r="C2" s="192"/>
      <c r="D2" s="192"/>
      <c r="E2" s="192"/>
      <c r="F2" s="192"/>
      <c r="G2" s="193"/>
      <c r="H2" s="149"/>
    </row>
    <row r="3" spans="1:8" ht="13.5" thickTop="1" x14ac:dyDescent="0.2">
      <c r="A3" s="3" t="s">
        <v>18</v>
      </c>
      <c r="B3" s="1">
        <v>100</v>
      </c>
      <c r="C3" s="194" t="s">
        <v>17</v>
      </c>
      <c r="D3" s="195"/>
      <c r="E3" s="15"/>
      <c r="F3" s="198" t="s">
        <v>25</v>
      </c>
      <c r="G3" s="77"/>
      <c r="H3" s="78"/>
    </row>
    <row r="4" spans="1:8" x14ac:dyDescent="0.2">
      <c r="A4" s="3" t="s">
        <v>16</v>
      </c>
      <c r="B4" s="90">
        <f>SUM(B3,B42:B50)</f>
        <v>100</v>
      </c>
      <c r="C4" s="196"/>
      <c r="D4" s="197"/>
      <c r="E4" s="11">
        <v>9000000</v>
      </c>
      <c r="F4" s="199"/>
      <c r="G4" s="37">
        <f>IF(E4&gt;0,SUM(E4,F42:F50),"")</f>
        <v>9000000</v>
      </c>
      <c r="H4" s="78"/>
    </row>
    <row r="5" spans="1:8" x14ac:dyDescent="0.2">
      <c r="A5" s="29"/>
      <c r="B5" s="30"/>
      <c r="C5" s="200" t="s">
        <v>34</v>
      </c>
      <c r="D5" s="201"/>
      <c r="E5" s="28"/>
      <c r="F5" s="204" t="s">
        <v>26</v>
      </c>
      <c r="G5" s="38"/>
      <c r="H5" s="78"/>
    </row>
    <row r="6" spans="1:8" x14ac:dyDescent="0.2">
      <c r="A6" s="31"/>
      <c r="B6" s="32"/>
      <c r="C6" s="202"/>
      <c r="D6" s="203"/>
      <c r="E6" s="27"/>
      <c r="F6" s="205"/>
      <c r="G6" s="39" t="str">
        <f>IF(E6&gt;0,SUM(E6,E42:E50),"")</f>
        <v/>
      </c>
      <c r="H6" s="78"/>
    </row>
    <row r="7" spans="1:8" x14ac:dyDescent="0.2">
      <c r="A7" s="2" t="s">
        <v>0</v>
      </c>
      <c r="B7" s="36">
        <f>E4/B3/12</f>
        <v>7500</v>
      </c>
      <c r="C7" s="206" t="s">
        <v>23</v>
      </c>
      <c r="D7" s="207"/>
      <c r="E7" s="34"/>
      <c r="F7" s="5" t="s">
        <v>20</v>
      </c>
      <c r="G7" s="39">
        <f>IF(E7&gt;0,(G4-(E7*B4)*12),G4)</f>
        <v>9000000</v>
      </c>
      <c r="H7" s="78"/>
    </row>
    <row r="8" spans="1:8" ht="15.75" thickBot="1" x14ac:dyDescent="0.3">
      <c r="A8" s="2" t="s">
        <v>19</v>
      </c>
      <c r="B8" s="36">
        <f>(E6/B3)/12</f>
        <v>0</v>
      </c>
      <c r="C8" s="206" t="s">
        <v>27</v>
      </c>
      <c r="D8" s="207"/>
      <c r="E8" s="153"/>
      <c r="F8" s="13" t="s">
        <v>24</v>
      </c>
      <c r="G8" s="39" t="str">
        <f>IF(E8&gt;0,(G6-(E8*B4)*12),G6)</f>
        <v/>
      </c>
      <c r="H8" s="78"/>
    </row>
    <row r="9" spans="1:8" ht="17.25" thickTop="1" thickBot="1" x14ac:dyDescent="0.3">
      <c r="A9" s="8" t="s">
        <v>1</v>
      </c>
      <c r="B9" s="9" t="s">
        <v>2</v>
      </c>
      <c r="C9" s="208" t="s">
        <v>31</v>
      </c>
      <c r="D9" s="209"/>
      <c r="E9" s="10" t="s">
        <v>3</v>
      </c>
      <c r="F9" s="10" t="s">
        <v>32</v>
      </c>
      <c r="G9" s="12" t="s">
        <v>4</v>
      </c>
      <c r="H9" s="78"/>
    </row>
    <row r="10" spans="1:8" ht="13.5" thickTop="1" x14ac:dyDescent="0.2">
      <c r="A10" s="6" t="s">
        <v>35</v>
      </c>
      <c r="B10" s="79">
        <v>12000</v>
      </c>
      <c r="C10" s="210">
        <v>25</v>
      </c>
      <c r="D10" s="211"/>
      <c r="E10" s="40">
        <f t="shared" ref="E10:E27" si="0">B10*C10/100</f>
        <v>3000</v>
      </c>
      <c r="F10" s="41">
        <f t="shared" ref="F10:F27" si="1">IF(C10&gt;0,(100-C10),100)</f>
        <v>75</v>
      </c>
      <c r="G10" s="42">
        <f t="shared" ref="G10:G27" si="2">IF(F10&gt;1,F10/100*B10,"")</f>
        <v>9000</v>
      </c>
      <c r="H10" s="78"/>
    </row>
    <row r="11" spans="1:8" x14ac:dyDescent="0.2">
      <c r="A11" s="7" t="s">
        <v>36</v>
      </c>
      <c r="B11" s="80">
        <v>2500</v>
      </c>
      <c r="C11" s="212">
        <v>80</v>
      </c>
      <c r="D11" s="213"/>
      <c r="E11" s="43">
        <f t="shared" si="0"/>
        <v>2000</v>
      </c>
      <c r="F11" s="44">
        <f t="shared" si="1"/>
        <v>20</v>
      </c>
      <c r="G11" s="45">
        <f t="shared" si="2"/>
        <v>500</v>
      </c>
      <c r="H11" s="78"/>
    </row>
    <row r="12" spans="1:8" x14ac:dyDescent="0.2">
      <c r="A12" s="4" t="s">
        <v>46</v>
      </c>
      <c r="B12" s="65">
        <v>1804</v>
      </c>
      <c r="C12" s="186">
        <v>100</v>
      </c>
      <c r="D12" s="187"/>
      <c r="E12" s="46">
        <f t="shared" si="0"/>
        <v>1804</v>
      </c>
      <c r="F12" s="44">
        <f t="shared" si="1"/>
        <v>0</v>
      </c>
      <c r="G12" s="45" t="str">
        <f t="shared" si="2"/>
        <v/>
      </c>
      <c r="H12" s="78"/>
    </row>
    <row r="13" spans="1:8" x14ac:dyDescent="0.2">
      <c r="A13" s="33" t="s">
        <v>47</v>
      </c>
      <c r="B13" s="65">
        <v>500</v>
      </c>
      <c r="C13" s="186">
        <v>75</v>
      </c>
      <c r="D13" s="187"/>
      <c r="E13" s="46">
        <f t="shared" si="0"/>
        <v>375</v>
      </c>
      <c r="F13" s="44">
        <f t="shared" si="1"/>
        <v>25</v>
      </c>
      <c r="G13" s="45">
        <f t="shared" si="2"/>
        <v>125</v>
      </c>
      <c r="H13" s="78"/>
    </row>
    <row r="14" spans="1:8" x14ac:dyDescent="0.2">
      <c r="A14" s="4" t="s">
        <v>37</v>
      </c>
      <c r="B14" s="65">
        <v>2550</v>
      </c>
      <c r="C14" s="186">
        <v>10</v>
      </c>
      <c r="D14" s="187"/>
      <c r="E14" s="46">
        <f t="shared" si="0"/>
        <v>255</v>
      </c>
      <c r="F14" s="44">
        <f t="shared" si="1"/>
        <v>90</v>
      </c>
      <c r="G14" s="45">
        <f t="shared" si="2"/>
        <v>2295</v>
      </c>
      <c r="H14" s="78"/>
    </row>
    <row r="15" spans="1:8" x14ac:dyDescent="0.2">
      <c r="A15" s="4" t="s">
        <v>38</v>
      </c>
      <c r="B15" s="65">
        <v>1180</v>
      </c>
      <c r="C15" s="186">
        <v>10</v>
      </c>
      <c r="D15" s="187"/>
      <c r="E15" s="46">
        <f t="shared" si="0"/>
        <v>118</v>
      </c>
      <c r="F15" s="44">
        <f t="shared" si="1"/>
        <v>90</v>
      </c>
      <c r="G15" s="45">
        <f t="shared" si="2"/>
        <v>1062</v>
      </c>
      <c r="H15" s="78"/>
    </row>
    <row r="16" spans="1:8" x14ac:dyDescent="0.2">
      <c r="A16" s="4" t="s">
        <v>39</v>
      </c>
      <c r="B16" s="65">
        <v>920</v>
      </c>
      <c r="C16" s="186">
        <v>20</v>
      </c>
      <c r="D16" s="187"/>
      <c r="E16" s="46">
        <f t="shared" si="0"/>
        <v>184</v>
      </c>
      <c r="F16" s="44">
        <f t="shared" si="1"/>
        <v>80</v>
      </c>
      <c r="G16" s="45">
        <f t="shared" si="2"/>
        <v>736</v>
      </c>
      <c r="H16" s="78"/>
    </row>
    <row r="17" spans="1:10" x14ac:dyDescent="0.2">
      <c r="A17" s="4" t="s">
        <v>40</v>
      </c>
      <c r="B17" s="65">
        <v>1285</v>
      </c>
      <c r="C17" s="186">
        <v>0</v>
      </c>
      <c r="D17" s="187"/>
      <c r="E17" s="46">
        <f t="shared" si="0"/>
        <v>0</v>
      </c>
      <c r="F17" s="44">
        <f t="shared" si="1"/>
        <v>100</v>
      </c>
      <c r="G17" s="45">
        <f t="shared" si="2"/>
        <v>1285</v>
      </c>
      <c r="H17" s="78"/>
    </row>
    <row r="18" spans="1:10" x14ac:dyDescent="0.2">
      <c r="A18" s="4" t="s">
        <v>41</v>
      </c>
      <c r="B18" s="65">
        <v>2100</v>
      </c>
      <c r="C18" s="186">
        <v>90</v>
      </c>
      <c r="D18" s="187"/>
      <c r="E18" s="46">
        <f t="shared" si="0"/>
        <v>1890</v>
      </c>
      <c r="F18" s="44">
        <f t="shared" si="1"/>
        <v>10</v>
      </c>
      <c r="G18" s="45">
        <f t="shared" si="2"/>
        <v>210</v>
      </c>
      <c r="H18" s="78"/>
    </row>
    <row r="19" spans="1:10" x14ac:dyDescent="0.2">
      <c r="A19" s="4" t="s">
        <v>42</v>
      </c>
      <c r="B19" s="65">
        <v>1040</v>
      </c>
      <c r="C19" s="186">
        <v>100</v>
      </c>
      <c r="D19" s="187"/>
      <c r="E19" s="46">
        <f t="shared" si="0"/>
        <v>1040</v>
      </c>
      <c r="F19" s="44">
        <f t="shared" si="1"/>
        <v>0</v>
      </c>
      <c r="G19" s="45" t="str">
        <f t="shared" si="2"/>
        <v/>
      </c>
      <c r="H19" s="78"/>
    </row>
    <row r="20" spans="1:10" x14ac:dyDescent="0.2">
      <c r="A20" s="4" t="s">
        <v>43</v>
      </c>
      <c r="B20" s="65">
        <v>12425</v>
      </c>
      <c r="C20" s="186">
        <v>100</v>
      </c>
      <c r="D20" s="187"/>
      <c r="E20" s="46">
        <f t="shared" si="0"/>
        <v>12425</v>
      </c>
      <c r="F20" s="44">
        <f t="shared" si="1"/>
        <v>0</v>
      </c>
      <c r="G20" s="45" t="str">
        <f t="shared" si="2"/>
        <v/>
      </c>
      <c r="H20" s="78"/>
    </row>
    <row r="21" spans="1:10" x14ac:dyDescent="0.2">
      <c r="A21" s="4" t="s">
        <v>44</v>
      </c>
      <c r="B21" s="65">
        <v>8928</v>
      </c>
      <c r="C21" s="186">
        <v>50</v>
      </c>
      <c r="D21" s="187"/>
      <c r="E21" s="46">
        <f t="shared" si="0"/>
        <v>4464</v>
      </c>
      <c r="F21" s="44">
        <f t="shared" si="1"/>
        <v>50</v>
      </c>
      <c r="G21" s="45">
        <f t="shared" si="2"/>
        <v>4464</v>
      </c>
      <c r="H21" s="78"/>
    </row>
    <row r="22" spans="1:10" x14ac:dyDescent="0.2">
      <c r="A22" s="4" t="s">
        <v>45</v>
      </c>
      <c r="B22" s="65"/>
      <c r="C22" s="186"/>
      <c r="D22" s="187"/>
      <c r="E22" s="46">
        <f t="shared" si="0"/>
        <v>0</v>
      </c>
      <c r="F22" s="44">
        <f t="shared" si="1"/>
        <v>100</v>
      </c>
      <c r="G22" s="45">
        <f t="shared" si="2"/>
        <v>0</v>
      </c>
      <c r="H22" s="78"/>
    </row>
    <row r="23" spans="1:10" x14ac:dyDescent="0.2">
      <c r="A23" s="4" t="s">
        <v>63</v>
      </c>
      <c r="B23" s="65">
        <v>500</v>
      </c>
      <c r="C23" s="215">
        <v>75</v>
      </c>
      <c r="D23" s="216"/>
      <c r="E23" s="46">
        <f t="shared" si="0"/>
        <v>375</v>
      </c>
      <c r="F23" s="47">
        <f t="shared" si="1"/>
        <v>25</v>
      </c>
      <c r="G23" s="48">
        <f t="shared" si="2"/>
        <v>125</v>
      </c>
      <c r="H23" s="78"/>
    </row>
    <row r="24" spans="1:10" x14ac:dyDescent="0.2">
      <c r="A24" s="4" t="s">
        <v>64</v>
      </c>
      <c r="B24" s="65">
        <v>300</v>
      </c>
      <c r="C24" s="186">
        <v>50</v>
      </c>
      <c r="D24" s="187"/>
      <c r="E24" s="46">
        <f t="shared" si="0"/>
        <v>150</v>
      </c>
      <c r="F24" s="47">
        <f t="shared" si="1"/>
        <v>50</v>
      </c>
      <c r="G24" s="48">
        <f t="shared" si="2"/>
        <v>150</v>
      </c>
      <c r="H24" s="78"/>
    </row>
    <row r="25" spans="1:10" x14ac:dyDescent="0.2">
      <c r="A25" s="4"/>
      <c r="B25" s="65"/>
      <c r="C25" s="186"/>
      <c r="D25" s="214"/>
      <c r="E25" s="46">
        <f t="shared" si="0"/>
        <v>0</v>
      </c>
      <c r="F25" s="47">
        <f t="shared" si="1"/>
        <v>100</v>
      </c>
      <c r="G25" s="48">
        <f t="shared" si="2"/>
        <v>0</v>
      </c>
      <c r="H25" s="78"/>
    </row>
    <row r="26" spans="1:10" x14ac:dyDescent="0.2">
      <c r="A26" s="4"/>
      <c r="B26" s="65"/>
      <c r="C26" s="186"/>
      <c r="D26" s="214"/>
      <c r="E26" s="46">
        <f t="shared" si="0"/>
        <v>0</v>
      </c>
      <c r="F26" s="47">
        <f t="shared" si="1"/>
        <v>100</v>
      </c>
      <c r="G26" s="48">
        <f t="shared" si="2"/>
        <v>0</v>
      </c>
      <c r="H26" s="78"/>
    </row>
    <row r="27" spans="1:10" ht="13.5" thickBot="1" x14ac:dyDescent="0.25">
      <c r="A27" s="4"/>
      <c r="B27" s="65"/>
      <c r="C27" s="215"/>
      <c r="D27" s="216"/>
      <c r="E27" s="46">
        <f t="shared" si="0"/>
        <v>0</v>
      </c>
      <c r="F27" s="47">
        <f t="shared" si="1"/>
        <v>100</v>
      </c>
      <c r="G27" s="48">
        <f t="shared" si="2"/>
        <v>0</v>
      </c>
      <c r="H27" s="78"/>
      <c r="J27" s="91"/>
    </row>
    <row r="28" spans="1:10" ht="13.5" thickTop="1" x14ac:dyDescent="0.2">
      <c r="A28" s="126" t="s">
        <v>5</v>
      </c>
      <c r="B28" s="147">
        <f>SUM(B10:B27)</f>
        <v>48032</v>
      </c>
      <c r="C28" s="127"/>
      <c r="D28" s="128"/>
      <c r="E28" s="49">
        <f>SUM(E10:E27)</f>
        <v>28080</v>
      </c>
      <c r="F28" s="129"/>
      <c r="G28" s="130">
        <f>SUM(G10:G27)</f>
        <v>19952</v>
      </c>
      <c r="H28" s="78"/>
    </row>
    <row r="29" spans="1:10" x14ac:dyDescent="0.2">
      <c r="A29" s="217" t="s">
        <v>11</v>
      </c>
      <c r="B29" s="218"/>
      <c r="C29" s="218"/>
      <c r="D29" s="219"/>
      <c r="E29" s="143">
        <f>E28/B28</f>
        <v>0.58461025982678216</v>
      </c>
      <c r="F29" s="131"/>
      <c r="G29" s="132">
        <f>G28/B28</f>
        <v>0.41538974017321784</v>
      </c>
      <c r="H29" s="78"/>
      <c r="J29" s="96"/>
    </row>
    <row r="30" spans="1:10" ht="13.5" thickBot="1" x14ac:dyDescent="0.25">
      <c r="A30" s="51" t="s">
        <v>59</v>
      </c>
      <c r="B30" s="148">
        <f>ROUNDUP((E28/B4/12),2)</f>
        <v>23.4</v>
      </c>
      <c r="C30" s="220" t="s">
        <v>77</v>
      </c>
      <c r="D30" s="221"/>
      <c r="E30" s="221"/>
      <c r="F30" s="133"/>
      <c r="G30" s="134"/>
      <c r="H30" s="78"/>
    </row>
    <row r="31" spans="1:10" ht="13.5" customHeight="1" thickTop="1" thickBot="1" x14ac:dyDescent="0.25">
      <c r="A31" s="88" t="s">
        <v>62</v>
      </c>
      <c r="B31" s="50">
        <f>IF(E4&gt;0,B30+G33,B30+G36)</f>
        <v>40.026666666666664</v>
      </c>
      <c r="C31" s="222"/>
      <c r="D31" s="222"/>
      <c r="E31" s="222"/>
      <c r="F31" s="241" t="s">
        <v>28</v>
      </c>
      <c r="G31" s="135"/>
      <c r="H31" s="78"/>
    </row>
    <row r="32" spans="1:10" ht="14.25" customHeight="1" thickTop="1" x14ac:dyDescent="0.2">
      <c r="A32" s="51" t="s">
        <v>65</v>
      </c>
      <c r="B32" s="81">
        <f>IF(E4&gt;1,B30+G33+((B7/1000)*G32),B30+G36+((B8/100)*G35))</f>
        <v>56.653333333333329</v>
      </c>
      <c r="C32" s="89">
        <f>(B32-B31)/B31</f>
        <v>0.41538974017321784</v>
      </c>
      <c r="D32" s="111" t="s">
        <v>76</v>
      </c>
      <c r="E32" s="124"/>
      <c r="F32" s="240"/>
      <c r="G32" s="136">
        <f>(G28/G7)*1000</f>
        <v>2.2168888888888887</v>
      </c>
      <c r="H32" s="78"/>
    </row>
    <row r="33" spans="1:8" x14ac:dyDescent="0.2">
      <c r="A33" s="112" t="s">
        <v>21</v>
      </c>
      <c r="B33" s="125"/>
      <c r="C33" s="52"/>
      <c r="D33" s="83"/>
      <c r="E33" s="82"/>
      <c r="F33" s="137" t="s">
        <v>6</v>
      </c>
      <c r="G33" s="138">
        <f>IF(E7&gt;0,(B7-E7)/1000*G32,B7/1000*G32)</f>
        <v>16.626666666666665</v>
      </c>
      <c r="H33" s="14"/>
    </row>
    <row r="34" spans="1:8" x14ac:dyDescent="0.2">
      <c r="A34" s="53" t="s">
        <v>7</v>
      </c>
      <c r="B34" s="139">
        <f>B4*B30*12</f>
        <v>28080</v>
      </c>
      <c r="C34" s="54"/>
      <c r="D34" s="83"/>
      <c r="E34" s="82"/>
      <c r="F34" s="239" t="s">
        <v>29</v>
      </c>
      <c r="G34" s="140"/>
      <c r="H34" s="78"/>
    </row>
    <row r="35" spans="1:8" ht="12.75" customHeight="1" x14ac:dyDescent="0.2">
      <c r="A35" s="51" t="s">
        <v>8</v>
      </c>
      <c r="B35" s="139">
        <f>IF(E4&gt;1,(G7/1000)*G32,(G8/100)*G35)</f>
        <v>19952</v>
      </c>
      <c r="C35" s="54"/>
      <c r="D35" s="83"/>
      <c r="E35" s="82"/>
      <c r="F35" s="240"/>
      <c r="G35" s="136" t="e">
        <f>(G28/G8)*100</f>
        <v>#VALUE!</v>
      </c>
      <c r="H35" s="78"/>
    </row>
    <row r="36" spans="1:8" ht="13.5" thickBot="1" x14ac:dyDescent="0.25">
      <c r="A36" s="55" t="s">
        <v>9</v>
      </c>
      <c r="B36" s="152">
        <f>SUM(B34,B35)</f>
        <v>48032</v>
      </c>
      <c r="C36" s="56"/>
      <c r="D36" s="57"/>
      <c r="E36" s="85"/>
      <c r="F36" s="141" t="s">
        <v>6</v>
      </c>
      <c r="G36" s="142" t="e">
        <f>IF(E8&gt;0,(B8-E8)/100*G35,B8/100*G35)</f>
        <v>#VALUE!</v>
      </c>
      <c r="H36" s="84"/>
    </row>
    <row r="37" spans="1:8" ht="13.5" thickTop="1" x14ac:dyDescent="0.2">
      <c r="A37" s="77"/>
      <c r="B37" s="77"/>
      <c r="C37" s="77"/>
      <c r="D37" s="77"/>
      <c r="E37" s="77"/>
      <c r="F37" s="77"/>
      <c r="G37" s="150"/>
      <c r="H37" s="110"/>
    </row>
    <row r="38" spans="1:8" x14ac:dyDescent="0.2">
      <c r="A38" s="86"/>
      <c r="B38" s="86"/>
      <c r="C38" s="86"/>
      <c r="D38" s="86"/>
      <c r="E38" s="86"/>
      <c r="F38" s="86"/>
      <c r="G38" s="86"/>
      <c r="H38" s="86"/>
    </row>
    <row r="39" spans="1:8" ht="13.5" thickBot="1" x14ac:dyDescent="0.25">
      <c r="A39" s="86"/>
      <c r="B39" s="86"/>
      <c r="C39" s="86"/>
      <c r="D39" s="86"/>
      <c r="E39" s="86"/>
      <c r="F39" s="87"/>
      <c r="G39" s="86"/>
      <c r="H39" s="77"/>
    </row>
    <row r="40" spans="1:8" ht="13.5" thickTop="1" x14ac:dyDescent="0.2">
      <c r="A40" s="231" t="s">
        <v>12</v>
      </c>
      <c r="B40" s="233" t="s">
        <v>15</v>
      </c>
      <c r="C40" s="233" t="s">
        <v>30</v>
      </c>
      <c r="D40" s="233" t="s">
        <v>13</v>
      </c>
      <c r="E40" s="235" t="s">
        <v>33</v>
      </c>
      <c r="F40" s="237" t="s">
        <v>14</v>
      </c>
      <c r="G40" s="248" t="s">
        <v>22</v>
      </c>
      <c r="H40" s="223" t="s">
        <v>10</v>
      </c>
    </row>
    <row r="41" spans="1:8" ht="13.5" thickBot="1" x14ac:dyDescent="0.25">
      <c r="A41" s="232"/>
      <c r="B41" s="234"/>
      <c r="C41" s="234"/>
      <c r="D41" s="234"/>
      <c r="E41" s="236"/>
      <c r="F41" s="238"/>
      <c r="G41" s="249"/>
      <c r="H41" s="224"/>
    </row>
    <row r="42" spans="1:8" ht="13.5" thickTop="1" x14ac:dyDescent="0.2">
      <c r="A42" s="24"/>
      <c r="B42" s="16"/>
      <c r="C42" s="17"/>
      <c r="D42" s="58" t="e">
        <f>IF(F42&gt;0,(F42/B7/12)*(C42/100),(E42/B8/12)*(C42/100))</f>
        <v>#DIV/0!</v>
      </c>
      <c r="E42" s="18"/>
      <c r="F42" s="19"/>
      <c r="G42" s="60">
        <f>B30*B42</f>
        <v>0</v>
      </c>
      <c r="H42" s="61" t="e">
        <f>IF(F42&gt;0,G42+(F42-(E7*B42*12))/12/1000*G32,G42+(((E42-(E8*B42*12))/12/100*G35)))</f>
        <v>#VALUE!</v>
      </c>
    </row>
    <row r="43" spans="1:8" x14ac:dyDescent="0.2">
      <c r="A43" s="25"/>
      <c r="B43" s="16"/>
      <c r="C43" s="17"/>
      <c r="D43" s="58" t="e">
        <f>IF(F43&gt;0,(F43/B7/12)*(C43/100),(E43/B8/12)*(C43/100))</f>
        <v>#DIV/0!</v>
      </c>
      <c r="E43" s="18"/>
      <c r="F43" s="19"/>
      <c r="G43" s="62">
        <f>B30*B43</f>
        <v>0</v>
      </c>
      <c r="H43" s="61" t="e">
        <f>IF(F43&gt;0,G43+(F43-(E7*B43*12))/12/1000*G32,G43+(((E43-(E8*B43*12))/12/100*G35)))</f>
        <v>#VALUE!</v>
      </c>
    </row>
    <row r="44" spans="1:8" x14ac:dyDescent="0.2">
      <c r="A44" s="25"/>
      <c r="B44" s="16"/>
      <c r="C44" s="17"/>
      <c r="D44" s="58" t="e">
        <f>IF(F44&gt;0,(F44/B7/12)*(C44/100),(E44/B8/12)*(C44/100))</f>
        <v>#DIV/0!</v>
      </c>
      <c r="E44" s="18"/>
      <c r="F44" s="19"/>
      <c r="G44" s="62">
        <f>B30*B44</f>
        <v>0</v>
      </c>
      <c r="H44" s="61" t="e">
        <f>IF(F44&gt;0,G44+(F44-(E7*B44*12))/12/1000*G32,G44+(((E44-(E8*B44*12))/12/100*G35)))</f>
        <v>#VALUE!</v>
      </c>
    </row>
    <row r="45" spans="1:8" x14ac:dyDescent="0.2">
      <c r="A45" s="25"/>
      <c r="B45" s="16"/>
      <c r="C45" s="17"/>
      <c r="D45" s="58" t="e">
        <f>IF(F45&gt;0,(F45/B7/12)*(C45/100),(E45/B8/12)*(C45/100))</f>
        <v>#DIV/0!</v>
      </c>
      <c r="E45" s="18"/>
      <c r="F45" s="19"/>
      <c r="G45" s="62">
        <f>B30*B45</f>
        <v>0</v>
      </c>
      <c r="H45" s="61" t="e">
        <f>IF(F45&gt;0,G45+(F45-(E7*B45*12))/12/1000*G32,G45+(((E45-(E8*B45*12))/12/100*G35)))</f>
        <v>#VALUE!</v>
      </c>
    </row>
    <row r="46" spans="1:8" x14ac:dyDescent="0.2">
      <c r="A46" s="25"/>
      <c r="B46" s="16"/>
      <c r="C46" s="17"/>
      <c r="D46" s="58" t="e">
        <f>IF(F46&gt;0,(F46/B7/12)*(C46/100),(E46/B8/12)*(C46/100))</f>
        <v>#DIV/0!</v>
      </c>
      <c r="E46" s="18"/>
      <c r="F46" s="19"/>
      <c r="G46" s="62">
        <f>B30*B46</f>
        <v>0</v>
      </c>
      <c r="H46" s="61" t="e">
        <f>IF(F46&gt;0,G46+(F46-(E7*B46*12))/12/1000*G32,G46+(((E46-(E8*B46*12))/12/100*G35)))</f>
        <v>#VALUE!</v>
      </c>
    </row>
    <row r="47" spans="1:8" x14ac:dyDescent="0.2">
      <c r="A47" s="25"/>
      <c r="B47" s="16"/>
      <c r="C47" s="17"/>
      <c r="D47" s="58" t="e">
        <f>IF(F47&gt;0,(F47/B7/12)*(C47/100),(E47/B8/12)*(C47/100))</f>
        <v>#DIV/0!</v>
      </c>
      <c r="E47" s="18"/>
      <c r="F47" s="19"/>
      <c r="G47" s="62">
        <f>B30*B47</f>
        <v>0</v>
      </c>
      <c r="H47" s="61" t="e">
        <f>IF(F47&gt;0,G47+(F47-(E7*B47*12))/12/1000*G32,G47+(((E47-(E8*B47*12))/12/100*G35)))</f>
        <v>#VALUE!</v>
      </c>
    </row>
    <row r="48" spans="1:8" x14ac:dyDescent="0.2">
      <c r="A48" s="25"/>
      <c r="B48" s="16"/>
      <c r="C48" s="17"/>
      <c r="D48" s="58" t="e">
        <f>IF(F48&gt;0,(F48/B7/12)*(C48/100),(E48/B8/12)*(C48/100))</f>
        <v>#DIV/0!</v>
      </c>
      <c r="E48" s="18"/>
      <c r="F48" s="19"/>
      <c r="G48" s="62">
        <f>B30*B48</f>
        <v>0</v>
      </c>
      <c r="H48" s="61" t="e">
        <f>IF(F48&gt;0,G48+(F48-(E7*B48*12))/12/1000*G32,G48+(((E48-(E8*B48*12))/12/100*G35)))</f>
        <v>#VALUE!</v>
      </c>
    </row>
    <row r="49" spans="1:11" x14ac:dyDescent="0.2">
      <c r="A49" s="25"/>
      <c r="B49" s="16"/>
      <c r="C49" s="17"/>
      <c r="D49" s="58" t="e">
        <f>IF(F49&gt;0,(F49/B7/12)*(C49/100),(E49/B8/12)*(C49/100))</f>
        <v>#DIV/0!</v>
      </c>
      <c r="E49" s="18"/>
      <c r="F49" s="19"/>
      <c r="G49" s="62">
        <f>B30*B49</f>
        <v>0</v>
      </c>
      <c r="H49" s="61" t="e">
        <f>IF(F49&gt;0,G49+(F49-(E7*B49*12))/12/1000*G32,G49+(((E49-(E8*B49*12))/12/100*G35)))</f>
        <v>#VALUE!</v>
      </c>
    </row>
    <row r="50" spans="1:11" ht="13.5" thickBot="1" x14ac:dyDescent="0.25">
      <c r="A50" s="26"/>
      <c r="B50" s="20"/>
      <c r="C50" s="21"/>
      <c r="D50" s="59" t="e">
        <f>IF(F50&gt;0,(F50/B7/12)*(C50/100),(E50/B8/12)*(C50/100))</f>
        <v>#DIV/0!</v>
      </c>
      <c r="E50" s="22"/>
      <c r="F50" s="23"/>
      <c r="G50" s="63">
        <f>B30*B50</f>
        <v>0</v>
      </c>
      <c r="H50" s="64" t="e">
        <f>IF(F50&gt;0,G50+(F50-(E7*B50*12))/12/1000*G32,G50+(((E50-(E8*B50*12))/12/100*G35)))</f>
        <v>#VALUE!</v>
      </c>
    </row>
    <row r="51" spans="1:11" ht="13.5" thickTop="1" x14ac:dyDescent="0.2">
      <c r="A51" s="77"/>
      <c r="B51" s="77"/>
      <c r="C51" s="77"/>
      <c r="D51" s="77"/>
      <c r="E51" s="77"/>
      <c r="F51" s="77"/>
      <c r="G51" s="77"/>
      <c r="H51" s="77"/>
    </row>
    <row r="52" spans="1:11" x14ac:dyDescent="0.2">
      <c r="A52" s="77"/>
      <c r="B52" s="77"/>
      <c r="C52" s="77"/>
      <c r="D52" s="155"/>
      <c r="E52" s="77"/>
      <c r="F52" s="77"/>
      <c r="G52" s="77"/>
      <c r="H52" s="77"/>
    </row>
    <row r="53" spans="1:11" x14ac:dyDescent="0.2">
      <c r="A53" s="77"/>
      <c r="B53" s="77"/>
      <c r="C53" s="77"/>
      <c r="D53" s="77"/>
      <c r="E53" s="77"/>
      <c r="F53" s="77"/>
      <c r="G53" s="77"/>
      <c r="H53" s="77"/>
    </row>
    <row r="54" spans="1:11" x14ac:dyDescent="0.2">
      <c r="A54" s="77"/>
      <c r="B54" s="77"/>
      <c r="C54" s="77"/>
      <c r="D54" s="77"/>
      <c r="E54" s="77"/>
      <c r="F54" s="77"/>
      <c r="G54" s="77"/>
      <c r="H54" s="77"/>
    </row>
    <row r="55" spans="1:11" x14ac:dyDescent="0.2">
      <c r="A55" s="77"/>
      <c r="B55" s="77"/>
      <c r="C55" s="77"/>
      <c r="D55" s="77"/>
      <c r="E55" s="77"/>
      <c r="F55" s="77"/>
      <c r="G55" s="77"/>
      <c r="H55" s="77"/>
    </row>
    <row r="56" spans="1:11" x14ac:dyDescent="0.2">
      <c r="A56" s="77"/>
      <c r="B56" s="77"/>
      <c r="C56" s="77"/>
      <c r="D56" s="77"/>
      <c r="E56" s="77"/>
      <c r="F56" s="77"/>
      <c r="G56" s="77"/>
      <c r="H56" s="77"/>
    </row>
    <row r="57" spans="1:11" x14ac:dyDescent="0.2">
      <c r="A57" s="77"/>
      <c r="B57" s="77"/>
      <c r="C57" s="77"/>
      <c r="D57" s="77"/>
      <c r="E57" s="77"/>
      <c r="F57" s="77"/>
      <c r="G57" s="77"/>
      <c r="H57" s="77"/>
    </row>
    <row r="58" spans="1:11" ht="13.5" thickBot="1" x14ac:dyDescent="0.25">
      <c r="A58" s="77"/>
      <c r="B58" s="77"/>
      <c r="C58" s="77"/>
      <c r="D58" s="77"/>
      <c r="E58" s="77"/>
      <c r="F58" s="77"/>
      <c r="G58" s="77"/>
      <c r="H58" s="77"/>
    </row>
    <row r="59" spans="1:11" ht="17.25" thickTop="1" thickBot="1" x14ac:dyDescent="0.3">
      <c r="A59" s="225" t="s">
        <v>54</v>
      </c>
      <c r="B59" s="226"/>
      <c r="C59" s="226"/>
      <c r="D59" s="226"/>
      <c r="E59" s="226"/>
      <c r="F59" s="227"/>
      <c r="G59" s="77"/>
      <c r="H59" s="76"/>
    </row>
    <row r="60" spans="1:11" ht="13.5" thickTop="1" x14ac:dyDescent="0.2">
      <c r="A60" s="167" t="s">
        <v>87</v>
      </c>
      <c r="B60" s="74"/>
      <c r="C60" s="228" t="s">
        <v>55</v>
      </c>
      <c r="D60" s="229"/>
      <c r="E60" s="230"/>
      <c r="F60" s="102"/>
      <c r="G60" s="76"/>
      <c r="H60" s="77"/>
    </row>
    <row r="61" spans="1:11" x14ac:dyDescent="0.2">
      <c r="A61" s="168" t="s">
        <v>48</v>
      </c>
      <c r="B61" s="66"/>
      <c r="C61" s="250" t="s">
        <v>49</v>
      </c>
      <c r="D61" s="250"/>
      <c r="E61" s="250"/>
      <c r="F61" s="73"/>
      <c r="G61" s="76"/>
      <c r="H61" s="77"/>
    </row>
    <row r="62" spans="1:11" x14ac:dyDescent="0.2">
      <c r="A62" s="169" t="s">
        <v>85</v>
      </c>
      <c r="B62" s="67"/>
      <c r="C62" s="251" t="s">
        <v>86</v>
      </c>
      <c r="D62" s="252"/>
      <c r="E62" s="253"/>
      <c r="F62" s="68"/>
      <c r="G62" s="77"/>
      <c r="H62" s="77"/>
    </row>
    <row r="63" spans="1:11" ht="13.5" thickBot="1" x14ac:dyDescent="0.25">
      <c r="A63" s="170" t="s">
        <v>84</v>
      </c>
      <c r="B63" s="174"/>
      <c r="C63" s="35" t="s">
        <v>75</v>
      </c>
      <c r="D63" s="35"/>
      <c r="E63" s="35"/>
      <c r="F63" s="95"/>
      <c r="G63" s="77"/>
      <c r="H63" s="77"/>
      <c r="K63" s="100"/>
    </row>
    <row r="64" spans="1:11" ht="13.5" thickTop="1" x14ac:dyDescent="0.2">
      <c r="A64" s="170" t="s">
        <v>83</v>
      </c>
      <c r="B64" s="69"/>
      <c r="C64" s="35" t="s">
        <v>56</v>
      </c>
      <c r="D64" s="35"/>
      <c r="E64" s="35"/>
      <c r="F64" s="103" t="e">
        <f>IF(B65&gt;1,((F63)*B66)&amp;I64,(F63*B67)&amp;I65)</f>
        <v>#VALUE!</v>
      </c>
      <c r="G64" s="106" t="s">
        <v>66</v>
      </c>
      <c r="H64" s="119" t="str">
        <f>IF(B65&gt;0,B65-((F63*B66)),"")</f>
        <v/>
      </c>
      <c r="I64" t="s">
        <v>60</v>
      </c>
    </row>
    <row r="65" spans="1:13" ht="15" x14ac:dyDescent="0.2">
      <c r="A65" s="170" t="s">
        <v>57</v>
      </c>
      <c r="B65" s="98"/>
      <c r="C65" s="70" t="s">
        <v>58</v>
      </c>
      <c r="D65" s="35"/>
      <c r="E65" s="35"/>
      <c r="F65" s="104"/>
      <c r="G65" s="107" t="s">
        <v>67</v>
      </c>
      <c r="H65" s="120" t="str">
        <f>IF(F65&gt;0,F65-((F63*B67)),"")</f>
        <v/>
      </c>
      <c r="I65" t="s">
        <v>61</v>
      </c>
      <c r="K65" s="100"/>
    </row>
    <row r="66" spans="1:13" x14ac:dyDescent="0.2">
      <c r="A66" s="171" t="s">
        <v>50</v>
      </c>
      <c r="B66" s="99" t="str">
        <f>IF(B65&gt;1,B65-((B60*B61)*F60),"")</f>
        <v/>
      </c>
      <c r="C66" s="242" t="s">
        <v>51</v>
      </c>
      <c r="D66" s="242"/>
      <c r="E66" s="242"/>
      <c r="F66" s="146" t="str">
        <f>IF(B65&gt;1,B66-(B66*F63),"")</f>
        <v/>
      </c>
      <c r="G66" s="105" t="s">
        <v>68</v>
      </c>
      <c r="H66" s="108" t="str">
        <f>IF(B65&gt;1,H64/B60/F60,"")</f>
        <v/>
      </c>
      <c r="J66" s="96"/>
    </row>
    <row r="67" spans="1:13" x14ac:dyDescent="0.2">
      <c r="A67" s="171" t="s">
        <v>53</v>
      </c>
      <c r="B67" s="71" t="str">
        <f>IF(F65&gt;0,F65-((B60*F61)*F60),"")</f>
        <v/>
      </c>
      <c r="C67" s="75" t="s">
        <v>52</v>
      </c>
      <c r="D67" s="75"/>
      <c r="E67" s="75"/>
      <c r="F67" s="71" t="str">
        <f>IF(F65&gt;1,B67-(B67*F63),"")</f>
        <v/>
      </c>
      <c r="G67" s="72" t="s">
        <v>69</v>
      </c>
      <c r="H67" s="109" t="str">
        <f>IF(F65&gt;1,H65/B60/F60,"")</f>
        <v/>
      </c>
      <c r="J67" s="96"/>
    </row>
    <row r="68" spans="1:13" ht="13.5" thickBot="1" x14ac:dyDescent="0.25">
      <c r="A68" s="172" t="s">
        <v>81</v>
      </c>
      <c r="B68" s="144" t="e">
        <f>(B63)*(F66/1000)</f>
        <v>#VALUE!</v>
      </c>
      <c r="C68" s="245"/>
      <c r="D68" s="246"/>
      <c r="E68" s="247"/>
      <c r="F68" s="118" t="str">
        <f>"New rate bill"</f>
        <v>New rate bill</v>
      </c>
      <c r="G68" s="93" t="e">
        <f>IF(B65&gt;1,E69+((B61/1000)*B62)+(((H66-B61)/1000)*B63),E69+((F61/100)*F62)+(((H67-F61)/100)*B64))</f>
        <v>#VALUE!</v>
      </c>
      <c r="H68" s="157"/>
      <c r="I68" s="156" t="e">
        <f>IF(B65&gt;1,(B30+((H66/1000)*G32)),(B30+((H67/100)*G35)))</f>
        <v>#VALUE!</v>
      </c>
      <c r="J68" s="96"/>
    </row>
    <row r="69" spans="1:13" ht="14.25" thickTop="1" thickBot="1" x14ac:dyDescent="0.25">
      <c r="A69" s="173" t="s">
        <v>82</v>
      </c>
      <c r="B69" s="145" t="e">
        <f>B64*(F67/100)</f>
        <v>#VALUE!</v>
      </c>
      <c r="C69" s="243" t="s">
        <v>79</v>
      </c>
      <c r="D69" s="244"/>
      <c r="E69" s="154"/>
      <c r="F69" s="166" t="s">
        <v>73</v>
      </c>
      <c r="G69" s="94" t="e">
        <f>IF(B65&gt;1,(H66/1000*B63),(H67/100)*B64)</f>
        <v>#VALUE!</v>
      </c>
      <c r="H69" s="92" t="e">
        <f>G69/G68</f>
        <v>#VALUE!</v>
      </c>
      <c r="I69" s="96" t="e">
        <f>IF(B65&gt;1,(B30+((H66*2/1000)*G32)),(B30+((H67*2/100)*G35)))</f>
        <v>#VALUE!</v>
      </c>
    </row>
    <row r="70" spans="1:13" ht="18.75" customHeight="1" thickTop="1" x14ac:dyDescent="0.2">
      <c r="A70" s="176" t="s">
        <v>74</v>
      </c>
      <c r="B70" s="178" t="e">
        <f>IF(B65&gt;1,((E69*B60)*F60)+B68+(B61/1000*B62*B60*12),((E69*B60)*F60)+B69+((F61/100*F62*12*B60)))</f>
        <v>#VALUE!</v>
      </c>
      <c r="C70" s="121"/>
      <c r="D70" s="101"/>
      <c r="E70" s="113"/>
      <c r="F70" s="101"/>
      <c r="G70" s="158"/>
      <c r="H70" s="159"/>
    </row>
    <row r="71" spans="1:13" ht="9.75" customHeight="1" thickBot="1" x14ac:dyDescent="0.25">
      <c r="A71" s="177"/>
      <c r="B71" s="179"/>
      <c r="C71" s="162"/>
      <c r="D71" s="77"/>
      <c r="E71" s="151"/>
      <c r="F71" s="97"/>
      <c r="G71" s="160"/>
      <c r="H71" s="160"/>
      <c r="M71" s="116"/>
    </row>
    <row r="72" spans="1:13" ht="9.75" customHeight="1" thickTop="1" thickBot="1" x14ac:dyDescent="0.25">
      <c r="A72" s="163"/>
      <c r="B72" s="164"/>
      <c r="C72" s="122"/>
      <c r="D72" s="77"/>
      <c r="E72" s="151"/>
      <c r="F72" s="97"/>
      <c r="G72" s="160"/>
      <c r="H72" s="160"/>
      <c r="M72" s="116"/>
    </row>
    <row r="73" spans="1:13" ht="14.25" thickTop="1" thickBot="1" x14ac:dyDescent="0.25">
      <c r="A73" s="123" t="s">
        <v>70</v>
      </c>
      <c r="B73" s="180" t="s">
        <v>80</v>
      </c>
      <c r="C73" s="181"/>
      <c r="D73" s="181" t="s">
        <v>71</v>
      </c>
      <c r="E73" s="181"/>
      <c r="F73" s="114" t="s">
        <v>72</v>
      </c>
      <c r="G73" s="161"/>
      <c r="H73" s="161"/>
      <c r="J73" s="96"/>
    </row>
    <row r="74" spans="1:13" ht="13.5" customHeight="1" thickTop="1" thickBot="1" x14ac:dyDescent="0.25">
      <c r="A74" s="115"/>
      <c r="B74" s="182">
        <f>IF(D75&gt;0,D75,F75)</f>
        <v>0</v>
      </c>
      <c r="C74" s="183"/>
      <c r="D74" s="184"/>
      <c r="E74" s="185"/>
      <c r="F74" s="117"/>
      <c r="G74" s="77"/>
      <c r="H74" s="77"/>
      <c r="J74" s="96"/>
    </row>
    <row r="75" spans="1:13" ht="13.5" hidden="1" thickTop="1" x14ac:dyDescent="0.2">
      <c r="A75" s="77"/>
      <c r="B75" s="77"/>
      <c r="C75" s="77"/>
      <c r="D75" s="76">
        <f>IF(D74&gt;(F60*B61),E69+((B61/1000)*B62)+((((D74/F60)-B61)/1000)*B63),0)</f>
        <v>0</v>
      </c>
      <c r="E75" s="77"/>
      <c r="F75" s="165">
        <f>IF(F74&gt;F60*F61,E69+((F61/100)*F62)+((((F74/F60)-F61)/100)*B64),0)</f>
        <v>0</v>
      </c>
      <c r="G75" s="77"/>
      <c r="H75" s="77"/>
      <c r="J75" s="96"/>
    </row>
    <row r="76" spans="1:13" ht="13.5" thickTop="1" x14ac:dyDescent="0.2"/>
  </sheetData>
  <sheetProtection password="CC0D" sheet="1" objects="1" scenarios="1"/>
  <mergeCells count="51">
    <mergeCell ref="B73:C73"/>
    <mergeCell ref="D73:E73"/>
    <mergeCell ref="C10:D10"/>
    <mergeCell ref="C11:D11"/>
    <mergeCell ref="C12:D12"/>
    <mergeCell ref="C13:D13"/>
    <mergeCell ref="C14:D14"/>
    <mergeCell ref="C61:E61"/>
    <mergeCell ref="C62:E62"/>
    <mergeCell ref="A70:A71"/>
    <mergeCell ref="B70:B71"/>
    <mergeCell ref="A1:G2"/>
    <mergeCell ref="C3:D4"/>
    <mergeCell ref="F3:F4"/>
    <mergeCell ref="C5:D6"/>
    <mergeCell ref="F5:F6"/>
    <mergeCell ref="F34:F35"/>
    <mergeCell ref="F31:F32"/>
    <mergeCell ref="C26:D26"/>
    <mergeCell ref="C27:D27"/>
    <mergeCell ref="A29:D29"/>
    <mergeCell ref="C30:E31"/>
    <mergeCell ref="C66:E66"/>
    <mergeCell ref="C69:D69"/>
    <mergeCell ref="C68:E68"/>
    <mergeCell ref="B74:C74"/>
    <mergeCell ref="D74:E74"/>
    <mergeCell ref="C7:D7"/>
    <mergeCell ref="C8:D8"/>
    <mergeCell ref="C9:D9"/>
    <mergeCell ref="C19:D19"/>
    <mergeCell ref="C20:D20"/>
    <mergeCell ref="C21:D21"/>
    <mergeCell ref="C22:D22"/>
    <mergeCell ref="C15:D15"/>
    <mergeCell ref="C16:D16"/>
    <mergeCell ref="C17:D17"/>
    <mergeCell ref="C18:D18"/>
    <mergeCell ref="C23:D23"/>
    <mergeCell ref="C24:D24"/>
    <mergeCell ref="C25:D25"/>
    <mergeCell ref="H40:H41"/>
    <mergeCell ref="A59:F59"/>
    <mergeCell ref="C60:E60"/>
    <mergeCell ref="A40:A41"/>
    <mergeCell ref="B40:B41"/>
    <mergeCell ref="C40:C41"/>
    <mergeCell ref="D40:D41"/>
    <mergeCell ref="E40:E41"/>
    <mergeCell ref="F40:F41"/>
    <mergeCell ref="G40:G41"/>
  </mergeCells>
  <phoneticPr fontId="2" type="noConversion"/>
  <pageMargins left="0" right="0" top="1" bottom="0.5" header="0.5" footer="0.5"/>
  <pageSetup orientation="portrait" r:id="rId1"/>
  <headerFooter alignWithMargins="0">
    <oddHeader>&amp;LPractical Exercise 1</oddHeader>
    <oddFooter>&amp;L&amp;9Rev. June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M76"/>
  <sheetViews>
    <sheetView topLeftCell="A22" workbookViewId="0">
      <selection activeCell="H11" sqref="H11"/>
    </sheetView>
  </sheetViews>
  <sheetFormatPr defaultRowHeight="12.75" x14ac:dyDescent="0.2"/>
  <cols>
    <col min="1" max="1" width="24.42578125" customWidth="1"/>
    <col min="2" max="2" width="11" customWidth="1"/>
    <col min="3" max="3" width="5.5703125" customWidth="1"/>
    <col min="4" max="4" width="9" customWidth="1"/>
    <col min="5" max="5" width="10.5703125" customWidth="1"/>
    <col min="6" max="6" width="14.85546875" customWidth="1"/>
    <col min="7" max="7" width="13.140625" customWidth="1"/>
    <col min="8" max="8" width="10" customWidth="1"/>
    <col min="9" max="9" width="0.28515625" hidden="1" customWidth="1"/>
    <col min="10" max="11" width="9.140625" hidden="1" customWidth="1"/>
  </cols>
  <sheetData>
    <row r="1" spans="1:8" ht="13.5" thickTop="1" x14ac:dyDescent="0.2">
      <c r="A1" s="188" t="s">
        <v>78</v>
      </c>
      <c r="B1" s="189"/>
      <c r="C1" s="189"/>
      <c r="D1" s="189"/>
      <c r="E1" s="189"/>
      <c r="F1" s="189"/>
      <c r="G1" s="190"/>
      <c r="H1" s="149"/>
    </row>
    <row r="2" spans="1:8" ht="13.5" thickBot="1" x14ac:dyDescent="0.25">
      <c r="A2" s="191"/>
      <c r="B2" s="192"/>
      <c r="C2" s="192"/>
      <c r="D2" s="192"/>
      <c r="E2" s="192"/>
      <c r="F2" s="192"/>
      <c r="G2" s="193"/>
      <c r="H2" s="149"/>
    </row>
    <row r="3" spans="1:8" ht="13.5" thickTop="1" x14ac:dyDescent="0.2">
      <c r="A3" s="3" t="s">
        <v>18</v>
      </c>
      <c r="B3" s="1">
        <v>72</v>
      </c>
      <c r="C3" s="194" t="s">
        <v>17</v>
      </c>
      <c r="D3" s="195"/>
      <c r="E3" s="15"/>
      <c r="F3" s="198" t="s">
        <v>25</v>
      </c>
      <c r="G3" s="77"/>
      <c r="H3" s="78"/>
    </row>
    <row r="4" spans="1:8" x14ac:dyDescent="0.2">
      <c r="A4" s="3" t="s">
        <v>16</v>
      </c>
      <c r="B4" s="90">
        <f>SUM(B3,B42:B50)</f>
        <v>72</v>
      </c>
      <c r="C4" s="196"/>
      <c r="D4" s="197"/>
      <c r="E4" s="11">
        <v>4924800</v>
      </c>
      <c r="F4" s="199"/>
      <c r="G4" s="37">
        <f>IF(E4&gt;0,SUM(E4,F42:F50),"")</f>
        <v>4924800</v>
      </c>
      <c r="H4" s="78"/>
    </row>
    <row r="5" spans="1:8" x14ac:dyDescent="0.2">
      <c r="A5" s="29"/>
      <c r="B5" s="30"/>
      <c r="C5" s="200" t="s">
        <v>34</v>
      </c>
      <c r="D5" s="201"/>
      <c r="E5" s="28"/>
      <c r="F5" s="204" t="s">
        <v>26</v>
      </c>
      <c r="G5" s="38"/>
      <c r="H5" s="78"/>
    </row>
    <row r="6" spans="1:8" x14ac:dyDescent="0.2">
      <c r="A6" s="31"/>
      <c r="B6" s="32"/>
      <c r="C6" s="202"/>
      <c r="D6" s="203"/>
      <c r="E6" s="27"/>
      <c r="F6" s="205"/>
      <c r="G6" s="39" t="str">
        <f>IF(E6&gt;0,SUM(E6,E42:E50),"")</f>
        <v/>
      </c>
      <c r="H6" s="78"/>
    </row>
    <row r="7" spans="1:8" x14ac:dyDescent="0.2">
      <c r="A7" s="2" t="s">
        <v>0</v>
      </c>
      <c r="B7" s="36">
        <f>E4/B3/12</f>
        <v>5700</v>
      </c>
      <c r="C7" s="206" t="s">
        <v>23</v>
      </c>
      <c r="D7" s="207"/>
      <c r="E7" s="34"/>
      <c r="F7" s="5" t="s">
        <v>20</v>
      </c>
      <c r="G7" s="39">
        <f>IF(E7&gt;0,(G4-(E7*B4)*12),G4)</f>
        <v>4924800</v>
      </c>
      <c r="H7" s="78"/>
    </row>
    <row r="8" spans="1:8" ht="15.75" thickBot="1" x14ac:dyDescent="0.3">
      <c r="A8" s="2" t="s">
        <v>19</v>
      </c>
      <c r="B8" s="36">
        <f>(E6/B3)/12</f>
        <v>0</v>
      </c>
      <c r="C8" s="206" t="s">
        <v>27</v>
      </c>
      <c r="D8" s="207"/>
      <c r="E8" s="153"/>
      <c r="F8" s="13" t="s">
        <v>24</v>
      </c>
      <c r="G8" s="39" t="str">
        <f>IF(E8&gt;0,(G6-(E8*B4)*12),G6)</f>
        <v/>
      </c>
      <c r="H8" s="78"/>
    </row>
    <row r="9" spans="1:8" ht="17.25" thickTop="1" thickBot="1" x14ac:dyDescent="0.3">
      <c r="A9" s="8" t="s">
        <v>1</v>
      </c>
      <c r="B9" s="9" t="s">
        <v>2</v>
      </c>
      <c r="C9" s="208" t="s">
        <v>31</v>
      </c>
      <c r="D9" s="209"/>
      <c r="E9" s="10" t="s">
        <v>3</v>
      </c>
      <c r="F9" s="10" t="s">
        <v>32</v>
      </c>
      <c r="G9" s="12" t="s">
        <v>4</v>
      </c>
      <c r="H9" s="78"/>
    </row>
    <row r="10" spans="1:8" ht="13.5" thickTop="1" x14ac:dyDescent="0.2">
      <c r="A10" s="6" t="s">
        <v>35</v>
      </c>
      <c r="B10" s="79">
        <v>10230</v>
      </c>
      <c r="C10" s="210">
        <v>60</v>
      </c>
      <c r="D10" s="211"/>
      <c r="E10" s="40">
        <f t="shared" ref="E10:E27" si="0">B10*C10/100</f>
        <v>6138</v>
      </c>
      <c r="F10" s="41">
        <f t="shared" ref="F10:F27" si="1">IF(C10&gt;0,(100-C10),100)</f>
        <v>40</v>
      </c>
      <c r="G10" s="42">
        <f t="shared" ref="G10:G27" si="2">IF(F10&gt;1,F10/100*B10,"")</f>
        <v>4092</v>
      </c>
      <c r="H10" s="78"/>
    </row>
    <row r="11" spans="1:8" x14ac:dyDescent="0.2">
      <c r="A11" s="7" t="s">
        <v>36</v>
      </c>
      <c r="B11" s="80"/>
      <c r="C11" s="212"/>
      <c r="D11" s="213"/>
      <c r="E11" s="43">
        <f t="shared" si="0"/>
        <v>0</v>
      </c>
      <c r="F11" s="44">
        <f t="shared" si="1"/>
        <v>100</v>
      </c>
      <c r="G11" s="45">
        <f t="shared" si="2"/>
        <v>0</v>
      </c>
      <c r="H11" s="78"/>
    </row>
    <row r="12" spans="1:8" x14ac:dyDescent="0.2">
      <c r="A12" s="4" t="s">
        <v>88</v>
      </c>
      <c r="B12" s="65">
        <v>1150</v>
      </c>
      <c r="C12" s="186">
        <v>100</v>
      </c>
      <c r="D12" s="187"/>
      <c r="E12" s="46">
        <f t="shared" si="0"/>
        <v>1150</v>
      </c>
      <c r="F12" s="44">
        <f t="shared" si="1"/>
        <v>0</v>
      </c>
      <c r="G12" s="45" t="str">
        <f t="shared" si="2"/>
        <v/>
      </c>
      <c r="H12" s="78"/>
    </row>
    <row r="13" spans="1:8" x14ac:dyDescent="0.2">
      <c r="A13" s="33" t="s">
        <v>47</v>
      </c>
      <c r="B13" s="65">
        <v>948</v>
      </c>
      <c r="C13" s="186">
        <v>60</v>
      </c>
      <c r="D13" s="187"/>
      <c r="E13" s="46">
        <f t="shared" si="0"/>
        <v>568.79999999999995</v>
      </c>
      <c r="F13" s="44">
        <f t="shared" si="1"/>
        <v>40</v>
      </c>
      <c r="G13" s="45">
        <f t="shared" si="2"/>
        <v>379.20000000000005</v>
      </c>
      <c r="H13" s="78"/>
    </row>
    <row r="14" spans="1:8" x14ac:dyDescent="0.2">
      <c r="A14" s="4" t="s">
        <v>37</v>
      </c>
      <c r="B14" s="65">
        <v>1255</v>
      </c>
      <c r="C14" s="186">
        <v>30</v>
      </c>
      <c r="D14" s="187"/>
      <c r="E14" s="46">
        <f t="shared" si="0"/>
        <v>376.5</v>
      </c>
      <c r="F14" s="44">
        <f t="shared" si="1"/>
        <v>70</v>
      </c>
      <c r="G14" s="45">
        <f t="shared" si="2"/>
        <v>878.5</v>
      </c>
      <c r="H14" s="78"/>
    </row>
    <row r="15" spans="1:8" x14ac:dyDescent="0.2">
      <c r="A15" s="4" t="s">
        <v>38</v>
      </c>
      <c r="B15" s="65">
        <v>1180</v>
      </c>
      <c r="C15" s="186">
        <v>15</v>
      </c>
      <c r="D15" s="187"/>
      <c r="E15" s="46">
        <f t="shared" si="0"/>
        <v>177</v>
      </c>
      <c r="F15" s="44">
        <f t="shared" si="1"/>
        <v>85</v>
      </c>
      <c r="G15" s="45">
        <f t="shared" si="2"/>
        <v>1003</v>
      </c>
      <c r="H15" s="78"/>
    </row>
    <row r="16" spans="1:8" x14ac:dyDescent="0.2">
      <c r="A16" s="4" t="s">
        <v>39</v>
      </c>
      <c r="B16" s="65"/>
      <c r="C16" s="186"/>
      <c r="D16" s="187"/>
      <c r="E16" s="46">
        <f t="shared" si="0"/>
        <v>0</v>
      </c>
      <c r="F16" s="44">
        <f t="shared" si="1"/>
        <v>100</v>
      </c>
      <c r="G16" s="45">
        <f t="shared" si="2"/>
        <v>0</v>
      </c>
      <c r="H16" s="78"/>
    </row>
    <row r="17" spans="1:10" x14ac:dyDescent="0.2">
      <c r="A17" s="4" t="s">
        <v>40</v>
      </c>
      <c r="B17" s="65">
        <v>1065</v>
      </c>
      <c r="C17" s="186">
        <v>10</v>
      </c>
      <c r="D17" s="187"/>
      <c r="E17" s="46">
        <f t="shared" si="0"/>
        <v>106.5</v>
      </c>
      <c r="F17" s="44">
        <f t="shared" si="1"/>
        <v>90</v>
      </c>
      <c r="G17" s="45">
        <f t="shared" si="2"/>
        <v>958.5</v>
      </c>
      <c r="H17" s="78"/>
    </row>
    <row r="18" spans="1:10" x14ac:dyDescent="0.2">
      <c r="A18" s="4" t="s">
        <v>41</v>
      </c>
      <c r="B18" s="65">
        <v>2500</v>
      </c>
      <c r="C18" s="186">
        <v>100</v>
      </c>
      <c r="D18" s="187"/>
      <c r="E18" s="46">
        <f t="shared" si="0"/>
        <v>2500</v>
      </c>
      <c r="F18" s="44">
        <f t="shared" si="1"/>
        <v>0</v>
      </c>
      <c r="G18" s="45" t="str">
        <f t="shared" si="2"/>
        <v/>
      </c>
      <c r="H18" s="78"/>
    </row>
    <row r="19" spans="1:10" x14ac:dyDescent="0.2">
      <c r="A19" s="4" t="s">
        <v>42</v>
      </c>
      <c r="B19" s="65">
        <v>800</v>
      </c>
      <c r="C19" s="186">
        <v>100</v>
      </c>
      <c r="D19" s="187"/>
      <c r="E19" s="46">
        <f t="shared" si="0"/>
        <v>800</v>
      </c>
      <c r="F19" s="44">
        <f t="shared" si="1"/>
        <v>0</v>
      </c>
      <c r="G19" s="45" t="str">
        <f t="shared" si="2"/>
        <v/>
      </c>
      <c r="H19" s="78"/>
    </row>
    <row r="20" spans="1:10" x14ac:dyDescent="0.2">
      <c r="A20" s="4" t="s">
        <v>43</v>
      </c>
      <c r="B20" s="65">
        <v>1340</v>
      </c>
      <c r="C20" s="186">
        <v>100</v>
      </c>
      <c r="D20" s="187"/>
      <c r="E20" s="46">
        <f t="shared" si="0"/>
        <v>1340</v>
      </c>
      <c r="F20" s="44">
        <f t="shared" si="1"/>
        <v>0</v>
      </c>
      <c r="G20" s="45" t="str">
        <f t="shared" si="2"/>
        <v/>
      </c>
      <c r="H20" s="78"/>
    </row>
    <row r="21" spans="1:10" x14ac:dyDescent="0.2">
      <c r="A21" s="4" t="s">
        <v>44</v>
      </c>
      <c r="B21" s="65">
        <v>2150</v>
      </c>
      <c r="C21" s="186">
        <v>80</v>
      </c>
      <c r="D21" s="187"/>
      <c r="E21" s="46">
        <f t="shared" si="0"/>
        <v>1720</v>
      </c>
      <c r="F21" s="44">
        <f t="shared" si="1"/>
        <v>20</v>
      </c>
      <c r="G21" s="45">
        <f t="shared" si="2"/>
        <v>430</v>
      </c>
      <c r="H21" s="78"/>
    </row>
    <row r="22" spans="1:10" x14ac:dyDescent="0.2">
      <c r="A22" s="4" t="s">
        <v>45</v>
      </c>
      <c r="B22" s="65">
        <v>1000</v>
      </c>
      <c r="C22" s="186">
        <v>80</v>
      </c>
      <c r="D22" s="187"/>
      <c r="E22" s="46">
        <f t="shared" si="0"/>
        <v>800</v>
      </c>
      <c r="F22" s="44">
        <f t="shared" si="1"/>
        <v>20</v>
      </c>
      <c r="G22" s="45">
        <f t="shared" si="2"/>
        <v>200</v>
      </c>
      <c r="H22" s="78"/>
    </row>
    <row r="23" spans="1:10" x14ac:dyDescent="0.2">
      <c r="A23" s="4" t="s">
        <v>63</v>
      </c>
      <c r="B23" s="65">
        <v>800</v>
      </c>
      <c r="C23" s="215">
        <v>80</v>
      </c>
      <c r="D23" s="216"/>
      <c r="E23" s="46">
        <f t="shared" si="0"/>
        <v>640</v>
      </c>
      <c r="F23" s="47">
        <f t="shared" si="1"/>
        <v>20</v>
      </c>
      <c r="G23" s="48">
        <f t="shared" si="2"/>
        <v>160</v>
      </c>
      <c r="H23" s="78"/>
    </row>
    <row r="24" spans="1:10" x14ac:dyDescent="0.2">
      <c r="A24" s="4" t="s">
        <v>64</v>
      </c>
      <c r="B24" s="65">
        <v>300</v>
      </c>
      <c r="C24" s="186">
        <v>30</v>
      </c>
      <c r="D24" s="187"/>
      <c r="E24" s="46">
        <f t="shared" si="0"/>
        <v>90</v>
      </c>
      <c r="F24" s="47">
        <f t="shared" si="1"/>
        <v>70</v>
      </c>
      <c r="G24" s="48">
        <f t="shared" si="2"/>
        <v>210</v>
      </c>
      <c r="H24" s="78"/>
    </row>
    <row r="25" spans="1:10" x14ac:dyDescent="0.2">
      <c r="A25" s="4"/>
      <c r="B25" s="65"/>
      <c r="C25" s="186"/>
      <c r="D25" s="214"/>
      <c r="E25" s="46">
        <f t="shared" si="0"/>
        <v>0</v>
      </c>
      <c r="F25" s="47">
        <f t="shared" si="1"/>
        <v>100</v>
      </c>
      <c r="G25" s="48">
        <f t="shared" si="2"/>
        <v>0</v>
      </c>
      <c r="H25" s="78"/>
    </row>
    <row r="26" spans="1:10" x14ac:dyDescent="0.2">
      <c r="A26" s="175"/>
      <c r="B26" s="65"/>
      <c r="C26" s="186"/>
      <c r="D26" s="214"/>
      <c r="E26" s="46">
        <f t="shared" si="0"/>
        <v>0</v>
      </c>
      <c r="F26" s="47">
        <f t="shared" si="1"/>
        <v>100</v>
      </c>
      <c r="G26" s="48">
        <f t="shared" si="2"/>
        <v>0</v>
      </c>
      <c r="H26" s="78"/>
    </row>
    <row r="27" spans="1:10" ht="13.5" thickBot="1" x14ac:dyDescent="0.25">
      <c r="A27" s="4"/>
      <c r="B27" s="65"/>
      <c r="C27" s="215"/>
      <c r="D27" s="216"/>
      <c r="E27" s="46">
        <f t="shared" si="0"/>
        <v>0</v>
      </c>
      <c r="F27" s="47">
        <f t="shared" si="1"/>
        <v>100</v>
      </c>
      <c r="G27" s="48">
        <f t="shared" si="2"/>
        <v>0</v>
      </c>
      <c r="H27" s="78"/>
      <c r="J27" s="91"/>
    </row>
    <row r="28" spans="1:10" ht="13.5" thickTop="1" x14ac:dyDescent="0.2">
      <c r="A28" s="126" t="s">
        <v>5</v>
      </c>
      <c r="B28" s="147">
        <f>SUM(B10:B27)</f>
        <v>24718</v>
      </c>
      <c r="C28" s="127"/>
      <c r="D28" s="128"/>
      <c r="E28" s="49">
        <f>SUM(E10:E27)</f>
        <v>16406.8</v>
      </c>
      <c r="F28" s="129"/>
      <c r="G28" s="130">
        <f>SUM(G10:G27)</f>
        <v>8311.2000000000007</v>
      </c>
      <c r="H28" s="78"/>
    </row>
    <row r="29" spans="1:10" x14ac:dyDescent="0.2">
      <c r="A29" s="217" t="s">
        <v>11</v>
      </c>
      <c r="B29" s="218"/>
      <c r="C29" s="218"/>
      <c r="D29" s="219"/>
      <c r="E29" s="143">
        <f>E28/B28</f>
        <v>0.66375920381907916</v>
      </c>
      <c r="F29" s="131"/>
      <c r="G29" s="132">
        <f>G28/B28</f>
        <v>0.33624079618092084</v>
      </c>
      <c r="H29" s="78"/>
      <c r="J29" s="96"/>
    </row>
    <row r="30" spans="1:10" ht="13.5" thickBot="1" x14ac:dyDescent="0.25">
      <c r="A30" s="51" t="s">
        <v>59</v>
      </c>
      <c r="B30" s="148">
        <f>ROUNDUP((E28/B4/12),2)</f>
        <v>18.990000000000002</v>
      </c>
      <c r="C30" s="220" t="s">
        <v>77</v>
      </c>
      <c r="D30" s="221"/>
      <c r="E30" s="221"/>
      <c r="F30" s="133"/>
      <c r="G30" s="134"/>
      <c r="H30" s="78"/>
    </row>
    <row r="31" spans="1:10" ht="13.5" customHeight="1" thickTop="1" thickBot="1" x14ac:dyDescent="0.25">
      <c r="A31" s="88" t="s">
        <v>62</v>
      </c>
      <c r="B31" s="50">
        <f>IF(E4&gt;0,B30+G33,B30+G36)</f>
        <v>28.609444444444449</v>
      </c>
      <c r="C31" s="222"/>
      <c r="D31" s="222"/>
      <c r="E31" s="222"/>
      <c r="F31" s="241" t="s">
        <v>28</v>
      </c>
      <c r="G31" s="135"/>
      <c r="H31" s="78"/>
    </row>
    <row r="32" spans="1:10" ht="14.25" customHeight="1" thickTop="1" x14ac:dyDescent="0.2">
      <c r="A32" s="51" t="s">
        <v>65</v>
      </c>
      <c r="B32" s="81">
        <f>IF(E4&gt;1,B30+G33+((B7/1000)*G32),B30+G36+((B8/100)*G35))</f>
        <v>38.228888888888896</v>
      </c>
      <c r="C32" s="89">
        <f>(B32-B31)/B31</f>
        <v>0.336233178631765</v>
      </c>
      <c r="D32" s="111" t="s">
        <v>76</v>
      </c>
      <c r="E32" s="124"/>
      <c r="F32" s="240"/>
      <c r="G32" s="136">
        <f>(G28/G7)*1000</f>
        <v>1.6876218323586747</v>
      </c>
      <c r="H32" s="78"/>
    </row>
    <row r="33" spans="1:8" x14ac:dyDescent="0.2">
      <c r="A33" s="112" t="s">
        <v>21</v>
      </c>
      <c r="B33" s="125"/>
      <c r="C33" s="52"/>
      <c r="D33" s="83"/>
      <c r="E33" s="82"/>
      <c r="F33" s="137" t="s">
        <v>6</v>
      </c>
      <c r="G33" s="138">
        <f>IF(E7&gt;0,(B7-E7)/1000*G32,B7/1000*G32)</f>
        <v>9.6194444444444454</v>
      </c>
      <c r="H33" s="14"/>
    </row>
    <row r="34" spans="1:8" x14ac:dyDescent="0.2">
      <c r="A34" s="53" t="s">
        <v>7</v>
      </c>
      <c r="B34" s="139">
        <f>B4*B30*12</f>
        <v>16407.36</v>
      </c>
      <c r="C34" s="54"/>
      <c r="D34" s="83"/>
      <c r="E34" s="82"/>
      <c r="F34" s="239" t="s">
        <v>29</v>
      </c>
      <c r="G34" s="140"/>
      <c r="H34" s="78"/>
    </row>
    <row r="35" spans="1:8" ht="12.75" customHeight="1" x14ac:dyDescent="0.2">
      <c r="A35" s="51" t="s">
        <v>8</v>
      </c>
      <c r="B35" s="139">
        <f>IF(E4&gt;1,(G7/1000)*G32,(G8/100)*G35)</f>
        <v>8311.2000000000007</v>
      </c>
      <c r="C35" s="54"/>
      <c r="D35" s="83"/>
      <c r="E35" s="82"/>
      <c r="F35" s="240"/>
      <c r="G35" s="136" t="e">
        <f>(G28/G8)*100</f>
        <v>#VALUE!</v>
      </c>
      <c r="H35" s="78"/>
    </row>
    <row r="36" spans="1:8" ht="13.5" thickBot="1" x14ac:dyDescent="0.25">
      <c r="A36" s="55" t="s">
        <v>9</v>
      </c>
      <c r="B36" s="152">
        <f>SUM(B34,B35)</f>
        <v>24718.560000000001</v>
      </c>
      <c r="C36" s="56"/>
      <c r="D36" s="57"/>
      <c r="E36" s="85"/>
      <c r="F36" s="141" t="s">
        <v>6</v>
      </c>
      <c r="G36" s="142" t="e">
        <f>IF(E8&gt;0,(B8-E8)/100*G35,B8/100*G35)</f>
        <v>#VALUE!</v>
      </c>
      <c r="H36" s="84"/>
    </row>
    <row r="37" spans="1:8" ht="13.5" thickTop="1" x14ac:dyDescent="0.2">
      <c r="A37" s="77"/>
      <c r="B37" s="77"/>
      <c r="C37" s="77"/>
      <c r="D37" s="77"/>
      <c r="E37" s="77"/>
      <c r="F37" s="77"/>
      <c r="G37" s="150"/>
      <c r="H37" s="110"/>
    </row>
    <row r="38" spans="1:8" x14ac:dyDescent="0.2">
      <c r="A38" s="86"/>
      <c r="B38" s="86"/>
      <c r="C38" s="86"/>
      <c r="D38" s="86"/>
      <c r="E38" s="86"/>
      <c r="F38" s="86"/>
      <c r="G38" s="86"/>
      <c r="H38" s="86"/>
    </row>
    <row r="39" spans="1:8" ht="13.5" thickBot="1" x14ac:dyDescent="0.25">
      <c r="A39" s="86"/>
      <c r="B39" s="86"/>
      <c r="C39" s="86"/>
      <c r="D39" s="86"/>
      <c r="E39" s="86"/>
      <c r="F39" s="87"/>
      <c r="G39" s="86"/>
      <c r="H39" s="77"/>
    </row>
    <row r="40" spans="1:8" ht="13.5" thickTop="1" x14ac:dyDescent="0.2">
      <c r="A40" s="231" t="s">
        <v>12</v>
      </c>
      <c r="B40" s="233" t="s">
        <v>15</v>
      </c>
      <c r="C40" s="233" t="s">
        <v>30</v>
      </c>
      <c r="D40" s="233" t="s">
        <v>13</v>
      </c>
      <c r="E40" s="235" t="s">
        <v>33</v>
      </c>
      <c r="F40" s="237" t="s">
        <v>14</v>
      </c>
      <c r="G40" s="248" t="s">
        <v>22</v>
      </c>
      <c r="H40" s="223" t="s">
        <v>10</v>
      </c>
    </row>
    <row r="41" spans="1:8" ht="13.5" thickBot="1" x14ac:dyDescent="0.25">
      <c r="A41" s="232"/>
      <c r="B41" s="234"/>
      <c r="C41" s="234"/>
      <c r="D41" s="234"/>
      <c r="E41" s="236"/>
      <c r="F41" s="238"/>
      <c r="G41" s="249"/>
      <c r="H41" s="224"/>
    </row>
    <row r="42" spans="1:8" ht="13.5" thickTop="1" x14ac:dyDescent="0.2">
      <c r="A42" s="24"/>
      <c r="B42" s="16"/>
      <c r="C42" s="17"/>
      <c r="D42" s="58" t="e">
        <f>IF(F42&gt;0,(F42/B7/12)*(C42/100),(E42/B8/12)*(C42/100))</f>
        <v>#DIV/0!</v>
      </c>
      <c r="E42" s="18"/>
      <c r="F42" s="19"/>
      <c r="G42" s="60">
        <f>B30*B42</f>
        <v>0</v>
      </c>
      <c r="H42" s="61" t="e">
        <f>IF(F42&gt;0,G42+(F42-(E7*B42*12))/12/1000*G32,G42+(((E42-(E8*B42*12))/12/100*G35)))</f>
        <v>#VALUE!</v>
      </c>
    </row>
    <row r="43" spans="1:8" x14ac:dyDescent="0.2">
      <c r="A43" s="25"/>
      <c r="B43" s="16"/>
      <c r="C43" s="17"/>
      <c r="D43" s="58" t="e">
        <f>IF(F43&gt;0,(F43/B7/12)*(C43/100),(E43/B8/12)*(C43/100))</f>
        <v>#DIV/0!</v>
      </c>
      <c r="E43" s="18"/>
      <c r="F43" s="19"/>
      <c r="G43" s="62">
        <f>B30*B43</f>
        <v>0</v>
      </c>
      <c r="H43" s="61" t="e">
        <f>IF(F43&gt;0,G43+(F43-(E7*B43*12))/12/1000*G32,G43+(((E43-(E8*B43*12))/12/100*G35)))</f>
        <v>#VALUE!</v>
      </c>
    </row>
    <row r="44" spans="1:8" x14ac:dyDescent="0.2">
      <c r="A44" s="25"/>
      <c r="B44" s="16"/>
      <c r="C44" s="17"/>
      <c r="D44" s="58" t="e">
        <f>IF(F44&gt;0,(F44/B7/12)*(C44/100),(E44/B8/12)*(C44/100))</f>
        <v>#DIV/0!</v>
      </c>
      <c r="E44" s="18"/>
      <c r="F44" s="19"/>
      <c r="G44" s="62">
        <f>B30*B44</f>
        <v>0</v>
      </c>
      <c r="H44" s="61" t="e">
        <f>IF(F44&gt;0,G44+(F44-(E7*B44*12))/12/1000*G32,G44+(((E44-(E8*B44*12))/12/100*G35)))</f>
        <v>#VALUE!</v>
      </c>
    </row>
    <row r="45" spans="1:8" x14ac:dyDescent="0.2">
      <c r="A45" s="25"/>
      <c r="B45" s="16"/>
      <c r="C45" s="17"/>
      <c r="D45" s="58" t="e">
        <f>IF(F45&gt;0,(F45/B7/12)*(C45/100),(E45/B8/12)*(C45/100))</f>
        <v>#DIV/0!</v>
      </c>
      <c r="E45" s="18"/>
      <c r="F45" s="19"/>
      <c r="G45" s="62">
        <f>B30*B45</f>
        <v>0</v>
      </c>
      <c r="H45" s="61" t="e">
        <f>IF(F45&gt;0,G45+(F45-(E7*B45*12))/12/1000*G32,G45+(((E45-(E8*B45*12))/12/100*G35)))</f>
        <v>#VALUE!</v>
      </c>
    </row>
    <row r="46" spans="1:8" x14ac:dyDescent="0.2">
      <c r="A46" s="25"/>
      <c r="B46" s="16"/>
      <c r="C46" s="17"/>
      <c r="D46" s="58" t="e">
        <f>IF(F46&gt;0,(F46/B7/12)*(C46/100),(E46/B8/12)*(C46/100))</f>
        <v>#DIV/0!</v>
      </c>
      <c r="E46" s="18"/>
      <c r="F46" s="19"/>
      <c r="G46" s="62">
        <f>B30*B46</f>
        <v>0</v>
      </c>
      <c r="H46" s="61" t="e">
        <f>IF(F46&gt;0,G46+(F46-(E7*B46*12))/12/1000*G32,G46+(((E46-(E8*B46*12))/12/100*G35)))</f>
        <v>#VALUE!</v>
      </c>
    </row>
    <row r="47" spans="1:8" x14ac:dyDescent="0.2">
      <c r="A47" s="25"/>
      <c r="B47" s="16"/>
      <c r="C47" s="17"/>
      <c r="D47" s="58" t="e">
        <f>IF(F47&gt;0,(F47/B7/12)*(C47/100),(E47/B8/12)*(C47/100))</f>
        <v>#DIV/0!</v>
      </c>
      <c r="E47" s="18"/>
      <c r="F47" s="19"/>
      <c r="G47" s="62">
        <f>B30*B47</f>
        <v>0</v>
      </c>
      <c r="H47" s="61" t="e">
        <f>IF(F47&gt;0,G47+(F47-(E7*B47*12))/12/1000*G32,G47+(((E47-(E8*B47*12))/12/100*G35)))</f>
        <v>#VALUE!</v>
      </c>
    </row>
    <row r="48" spans="1:8" x14ac:dyDescent="0.2">
      <c r="A48" s="25"/>
      <c r="B48" s="16"/>
      <c r="C48" s="17"/>
      <c r="D48" s="58" t="e">
        <f>IF(F48&gt;0,(F48/B7/12)*(C48/100),(E48/B8/12)*(C48/100))</f>
        <v>#DIV/0!</v>
      </c>
      <c r="E48" s="18"/>
      <c r="F48" s="19"/>
      <c r="G48" s="62">
        <f>B30*B48</f>
        <v>0</v>
      </c>
      <c r="H48" s="61" t="e">
        <f>IF(F48&gt;0,G48+(F48-(E7*B48*12))/12/1000*G32,G48+(((E48-(E8*B48*12))/12/100*G35)))</f>
        <v>#VALUE!</v>
      </c>
    </row>
    <row r="49" spans="1:11" x14ac:dyDescent="0.2">
      <c r="A49" s="25"/>
      <c r="B49" s="16"/>
      <c r="C49" s="17"/>
      <c r="D49" s="58" t="e">
        <f>IF(F49&gt;0,(F49/B7/12)*(C49/100),(E49/B8/12)*(C49/100))</f>
        <v>#DIV/0!</v>
      </c>
      <c r="E49" s="18"/>
      <c r="F49" s="19"/>
      <c r="G49" s="62">
        <f>B30*B49</f>
        <v>0</v>
      </c>
      <c r="H49" s="61" t="e">
        <f>IF(F49&gt;0,G49+(F49-(E7*B49*12))/12/1000*G32,G49+(((E49-(E8*B49*12))/12/100*G35)))</f>
        <v>#VALUE!</v>
      </c>
    </row>
    <row r="50" spans="1:11" ht="13.5" thickBot="1" x14ac:dyDescent="0.25">
      <c r="A50" s="26"/>
      <c r="B50" s="20"/>
      <c r="C50" s="21"/>
      <c r="D50" s="59" t="e">
        <f>IF(F50&gt;0,(F50/B7/12)*(C50/100),(E50/B8/12)*(C50/100))</f>
        <v>#DIV/0!</v>
      </c>
      <c r="E50" s="22"/>
      <c r="F50" s="23"/>
      <c r="G50" s="63">
        <f>B30*B50</f>
        <v>0</v>
      </c>
      <c r="H50" s="64" t="e">
        <f>IF(F50&gt;0,G50+(F50-(E7*B50*12))/12/1000*G32,G50+(((E50-(E8*B50*12))/12/100*G35)))</f>
        <v>#VALUE!</v>
      </c>
    </row>
    <row r="51" spans="1:11" ht="13.5" thickTop="1" x14ac:dyDescent="0.2">
      <c r="A51" s="77"/>
      <c r="B51" s="77"/>
      <c r="C51" s="77"/>
      <c r="D51" s="77"/>
      <c r="E51" s="77"/>
      <c r="F51" s="77"/>
      <c r="G51" s="77"/>
      <c r="H51" s="77"/>
    </row>
    <row r="52" spans="1:11" x14ac:dyDescent="0.2">
      <c r="A52" s="77"/>
      <c r="B52" s="77"/>
      <c r="C52" s="77"/>
      <c r="D52" s="155"/>
      <c r="E52" s="77"/>
      <c r="F52" s="77"/>
      <c r="G52" s="77"/>
      <c r="H52" s="77"/>
    </row>
    <row r="53" spans="1:11" x14ac:dyDescent="0.2">
      <c r="A53" s="77"/>
      <c r="B53" s="77"/>
      <c r="C53" s="77"/>
      <c r="D53" s="77"/>
      <c r="E53" s="77"/>
      <c r="F53" s="77"/>
      <c r="G53" s="77"/>
      <c r="H53" s="77"/>
    </row>
    <row r="54" spans="1:11" x14ac:dyDescent="0.2">
      <c r="A54" s="77"/>
      <c r="B54" s="77"/>
      <c r="C54" s="77"/>
      <c r="D54" s="77"/>
      <c r="E54" s="77"/>
      <c r="F54" s="77"/>
      <c r="G54" s="77"/>
      <c r="H54" s="77"/>
    </row>
    <row r="55" spans="1:11" x14ac:dyDescent="0.2">
      <c r="A55" s="77"/>
      <c r="B55" s="77"/>
      <c r="C55" s="77"/>
      <c r="D55" s="77"/>
      <c r="E55" s="77"/>
      <c r="F55" s="77"/>
      <c r="G55" s="77"/>
      <c r="H55" s="77"/>
    </row>
    <row r="56" spans="1:11" x14ac:dyDescent="0.2">
      <c r="A56" s="77"/>
      <c r="B56" s="77"/>
      <c r="C56" s="77"/>
      <c r="D56" s="77"/>
      <c r="E56" s="77"/>
      <c r="F56" s="77"/>
      <c r="G56" s="77"/>
      <c r="H56" s="77"/>
    </row>
    <row r="57" spans="1:11" x14ac:dyDescent="0.2">
      <c r="A57" s="77"/>
      <c r="B57" s="77"/>
      <c r="C57" s="77"/>
      <c r="D57" s="77"/>
      <c r="E57" s="77"/>
      <c r="F57" s="77"/>
      <c r="G57" s="77"/>
      <c r="H57" s="77"/>
    </row>
    <row r="58" spans="1:11" ht="13.5" thickBot="1" x14ac:dyDescent="0.25">
      <c r="A58" s="77"/>
      <c r="B58" s="77"/>
      <c r="C58" s="77"/>
      <c r="D58" s="77"/>
      <c r="E58" s="77"/>
      <c r="F58" s="77"/>
      <c r="G58" s="77"/>
      <c r="H58" s="77"/>
    </row>
    <row r="59" spans="1:11" ht="17.25" thickTop="1" thickBot="1" x14ac:dyDescent="0.3">
      <c r="A59" s="225" t="s">
        <v>54</v>
      </c>
      <c r="B59" s="226"/>
      <c r="C59" s="226"/>
      <c r="D59" s="226"/>
      <c r="E59" s="226"/>
      <c r="F59" s="227"/>
      <c r="G59" s="77"/>
      <c r="H59" s="76"/>
    </row>
    <row r="60" spans="1:11" ht="13.5" thickTop="1" x14ac:dyDescent="0.2">
      <c r="A60" s="167" t="s">
        <v>87</v>
      </c>
      <c r="B60" s="74"/>
      <c r="C60" s="228" t="s">
        <v>55</v>
      </c>
      <c r="D60" s="229"/>
      <c r="E60" s="230"/>
      <c r="F60" s="102"/>
      <c r="G60" s="76"/>
      <c r="H60" s="77"/>
    </row>
    <row r="61" spans="1:11" x14ac:dyDescent="0.2">
      <c r="A61" s="168" t="s">
        <v>48</v>
      </c>
      <c r="B61" s="66"/>
      <c r="C61" s="250" t="s">
        <v>49</v>
      </c>
      <c r="D61" s="250"/>
      <c r="E61" s="250"/>
      <c r="F61" s="73"/>
      <c r="G61" s="76"/>
      <c r="H61" s="77"/>
    </row>
    <row r="62" spans="1:11" x14ac:dyDescent="0.2">
      <c r="A62" s="169" t="s">
        <v>85</v>
      </c>
      <c r="B62" s="67"/>
      <c r="C62" s="251" t="s">
        <v>86</v>
      </c>
      <c r="D62" s="252"/>
      <c r="E62" s="253"/>
      <c r="F62" s="68"/>
      <c r="G62" s="77"/>
      <c r="H62" s="77"/>
    </row>
    <row r="63" spans="1:11" ht="13.5" thickBot="1" x14ac:dyDescent="0.25">
      <c r="A63" s="170" t="s">
        <v>84</v>
      </c>
      <c r="B63" s="174"/>
      <c r="C63" s="35" t="s">
        <v>75</v>
      </c>
      <c r="D63" s="35"/>
      <c r="E63" s="35"/>
      <c r="F63" s="95"/>
      <c r="G63" s="77"/>
      <c r="H63" s="77"/>
      <c r="K63" s="100"/>
    </row>
    <row r="64" spans="1:11" ht="13.5" thickTop="1" x14ac:dyDescent="0.2">
      <c r="A64" s="170" t="s">
        <v>83</v>
      </c>
      <c r="B64" s="69"/>
      <c r="C64" s="35" t="s">
        <v>56</v>
      </c>
      <c r="D64" s="35"/>
      <c r="E64" s="35"/>
      <c r="F64" s="103" t="e">
        <f>IF(B65&gt;1,((F63)*B66)&amp;I64,(F63*B67)&amp;I65)</f>
        <v>#VALUE!</v>
      </c>
      <c r="G64" s="106" t="s">
        <v>66</v>
      </c>
      <c r="H64" s="119" t="str">
        <f>IF(B65&gt;0,B65-((F63*B66)),"")</f>
        <v/>
      </c>
      <c r="I64" t="s">
        <v>60</v>
      </c>
    </row>
    <row r="65" spans="1:13" ht="15" x14ac:dyDescent="0.2">
      <c r="A65" s="170" t="s">
        <v>57</v>
      </c>
      <c r="B65" s="98"/>
      <c r="C65" s="70" t="s">
        <v>58</v>
      </c>
      <c r="D65" s="35"/>
      <c r="E65" s="35"/>
      <c r="F65" s="104"/>
      <c r="G65" s="107" t="s">
        <v>67</v>
      </c>
      <c r="H65" s="120" t="str">
        <f>IF(F65&gt;0,F65-((F63*B67)),"")</f>
        <v/>
      </c>
      <c r="I65" t="s">
        <v>61</v>
      </c>
      <c r="K65" s="100"/>
    </row>
    <row r="66" spans="1:13" x14ac:dyDescent="0.2">
      <c r="A66" s="171" t="s">
        <v>50</v>
      </c>
      <c r="B66" s="99" t="str">
        <f>IF(B65&gt;1,B65-((B60*B61)*F60),"")</f>
        <v/>
      </c>
      <c r="C66" s="242" t="s">
        <v>51</v>
      </c>
      <c r="D66" s="242"/>
      <c r="E66" s="242"/>
      <c r="F66" s="146" t="str">
        <f>IF(B65&gt;1,B66-(B66*F63),"")</f>
        <v/>
      </c>
      <c r="G66" s="105" t="s">
        <v>68</v>
      </c>
      <c r="H66" s="108" t="str">
        <f>IF(B65&gt;1,H64/B60/F60,"")</f>
        <v/>
      </c>
      <c r="J66" s="96"/>
    </row>
    <row r="67" spans="1:13" x14ac:dyDescent="0.2">
      <c r="A67" s="171" t="s">
        <v>53</v>
      </c>
      <c r="B67" s="71" t="str">
        <f>IF(F65&gt;0,F65-((B60*F61)*F60),"")</f>
        <v/>
      </c>
      <c r="C67" s="75" t="s">
        <v>52</v>
      </c>
      <c r="D67" s="75"/>
      <c r="E67" s="75"/>
      <c r="F67" s="71" t="str">
        <f>IF(F65&gt;1,B67-(B67*F63),"")</f>
        <v/>
      </c>
      <c r="G67" s="72" t="s">
        <v>69</v>
      </c>
      <c r="H67" s="109" t="str">
        <f>IF(F65&gt;1,H65/B60/F60,"")</f>
        <v/>
      </c>
      <c r="J67" s="96"/>
    </row>
    <row r="68" spans="1:13" ht="13.5" thickBot="1" x14ac:dyDescent="0.25">
      <c r="A68" s="172" t="s">
        <v>81</v>
      </c>
      <c r="B68" s="144" t="e">
        <f>(B63)*(F66/1000)</f>
        <v>#VALUE!</v>
      </c>
      <c r="C68" s="245"/>
      <c r="D68" s="246"/>
      <c r="E68" s="247"/>
      <c r="F68" s="118" t="str">
        <f>"New rate bill"</f>
        <v>New rate bill</v>
      </c>
      <c r="G68" s="93" t="e">
        <f>IF(B65&gt;1,E69+((B61/1000)*B62)+(((H66-B61)/1000)*B63),E69+((F61/100)*F62)+(((H67-F61)/100)*B64))</f>
        <v>#VALUE!</v>
      </c>
      <c r="H68" s="157"/>
      <c r="I68" s="156" t="e">
        <f>IF(B65&gt;1,(B30+((H66/1000)*G32)),(B30+((H67/100)*G35)))</f>
        <v>#VALUE!</v>
      </c>
      <c r="J68" s="96"/>
    </row>
    <row r="69" spans="1:13" ht="14.25" thickTop="1" thickBot="1" x14ac:dyDescent="0.25">
      <c r="A69" s="173" t="s">
        <v>82</v>
      </c>
      <c r="B69" s="145" t="e">
        <f>B64*(F67/100)</f>
        <v>#VALUE!</v>
      </c>
      <c r="C69" s="243" t="s">
        <v>79</v>
      </c>
      <c r="D69" s="244"/>
      <c r="E69" s="154"/>
      <c r="F69" s="166" t="s">
        <v>73</v>
      </c>
      <c r="G69" s="94" t="e">
        <f>IF(B65&gt;1,(H66/1000*B63),(H67/100)*B64)</f>
        <v>#VALUE!</v>
      </c>
      <c r="H69" s="92" t="e">
        <f>G69/G68</f>
        <v>#VALUE!</v>
      </c>
      <c r="I69" s="96" t="e">
        <f>IF(B65&gt;1,(B30+((H66*2/1000)*G32)),(B30+((H67*2/100)*G35)))</f>
        <v>#VALUE!</v>
      </c>
    </row>
    <row r="70" spans="1:13" ht="18.75" customHeight="1" thickTop="1" x14ac:dyDescent="0.2">
      <c r="A70" s="176" t="s">
        <v>74</v>
      </c>
      <c r="B70" s="178" t="e">
        <f>IF(B65&gt;1,((E69*B60)*F60)+B68+(B61/1000*B62*B60*12),((E69*B60)*F60)+B69+((F61/100*F62*12*B60)))</f>
        <v>#VALUE!</v>
      </c>
      <c r="C70" s="121"/>
      <c r="D70" s="101"/>
      <c r="E70" s="113"/>
      <c r="F70" s="101"/>
      <c r="G70" s="158"/>
      <c r="H70" s="159"/>
    </row>
    <row r="71" spans="1:13" ht="9.75" customHeight="1" thickBot="1" x14ac:dyDescent="0.25">
      <c r="A71" s="177"/>
      <c r="B71" s="179"/>
      <c r="C71" s="162"/>
      <c r="D71" s="77"/>
      <c r="E71" s="151"/>
      <c r="F71" s="97"/>
      <c r="G71" s="160"/>
      <c r="H71" s="160"/>
      <c r="M71" s="116"/>
    </row>
    <row r="72" spans="1:13" ht="9.75" customHeight="1" thickTop="1" thickBot="1" x14ac:dyDescent="0.25">
      <c r="A72" s="163"/>
      <c r="B72" s="164"/>
      <c r="C72" s="122"/>
      <c r="D72" s="77"/>
      <c r="E72" s="151"/>
      <c r="F72" s="97"/>
      <c r="G72" s="160"/>
      <c r="H72" s="160"/>
      <c r="M72" s="116"/>
    </row>
    <row r="73" spans="1:13" ht="14.25" thickTop="1" thickBot="1" x14ac:dyDescent="0.25">
      <c r="A73" s="123" t="s">
        <v>70</v>
      </c>
      <c r="B73" s="180" t="s">
        <v>80</v>
      </c>
      <c r="C73" s="181"/>
      <c r="D73" s="181" t="s">
        <v>71</v>
      </c>
      <c r="E73" s="181"/>
      <c r="F73" s="114" t="s">
        <v>72</v>
      </c>
      <c r="G73" s="161"/>
      <c r="H73" s="161"/>
      <c r="J73" s="96"/>
    </row>
    <row r="74" spans="1:13" ht="13.5" customHeight="1" thickTop="1" thickBot="1" x14ac:dyDescent="0.25">
      <c r="A74" s="115"/>
      <c r="B74" s="182">
        <f>IF(D75&gt;0,D75,F75)</f>
        <v>0</v>
      </c>
      <c r="C74" s="183"/>
      <c r="D74" s="184"/>
      <c r="E74" s="185"/>
      <c r="F74" s="117"/>
      <c r="G74" s="77"/>
      <c r="H74" s="77"/>
      <c r="J74" s="96"/>
    </row>
    <row r="75" spans="1:13" ht="13.5" hidden="1" thickTop="1" x14ac:dyDescent="0.2">
      <c r="A75" s="77"/>
      <c r="B75" s="77"/>
      <c r="C75" s="77"/>
      <c r="D75" s="76">
        <f>IF(D74&gt;(F60*B61),E69+((B61/1000)*B62)+((((D74/F60)-B61)/1000)*B63),0)</f>
        <v>0</v>
      </c>
      <c r="E75" s="77"/>
      <c r="F75" s="165">
        <f>IF(F74&gt;F60*F61,E69+((F61/100)*F62)+((((F74/F60)-F61)/100)*B64),0)</f>
        <v>0</v>
      </c>
      <c r="G75" s="77"/>
      <c r="H75" s="77"/>
      <c r="J75" s="96"/>
    </row>
    <row r="76" spans="1:13" ht="13.5" thickTop="1" x14ac:dyDescent="0.2"/>
  </sheetData>
  <sheetProtection password="CC0D" sheet="1" objects="1" scenarios="1"/>
  <mergeCells count="51">
    <mergeCell ref="B73:C73"/>
    <mergeCell ref="D73:E73"/>
    <mergeCell ref="C10:D10"/>
    <mergeCell ref="C11:D11"/>
    <mergeCell ref="C12:D12"/>
    <mergeCell ref="C13:D13"/>
    <mergeCell ref="C14:D14"/>
    <mergeCell ref="C61:E61"/>
    <mergeCell ref="C62:E62"/>
    <mergeCell ref="A70:A71"/>
    <mergeCell ref="B70:B71"/>
    <mergeCell ref="A1:G2"/>
    <mergeCell ref="C3:D4"/>
    <mergeCell ref="F3:F4"/>
    <mergeCell ref="C5:D6"/>
    <mergeCell ref="F5:F6"/>
    <mergeCell ref="F34:F35"/>
    <mergeCell ref="F31:F32"/>
    <mergeCell ref="C26:D26"/>
    <mergeCell ref="C27:D27"/>
    <mergeCell ref="A29:D29"/>
    <mergeCell ref="C30:E31"/>
    <mergeCell ref="C66:E66"/>
    <mergeCell ref="C69:D69"/>
    <mergeCell ref="C68:E68"/>
    <mergeCell ref="B74:C74"/>
    <mergeCell ref="D74:E74"/>
    <mergeCell ref="C7:D7"/>
    <mergeCell ref="C8:D8"/>
    <mergeCell ref="C9:D9"/>
    <mergeCell ref="C19:D19"/>
    <mergeCell ref="C20:D20"/>
    <mergeCell ref="C21:D21"/>
    <mergeCell ref="C22:D22"/>
    <mergeCell ref="C15:D15"/>
    <mergeCell ref="C16:D16"/>
    <mergeCell ref="C17:D17"/>
    <mergeCell ref="C18:D18"/>
    <mergeCell ref="C23:D23"/>
    <mergeCell ref="C24:D24"/>
    <mergeCell ref="C25:D25"/>
    <mergeCell ref="H40:H41"/>
    <mergeCell ref="A59:F59"/>
    <mergeCell ref="C60:E60"/>
    <mergeCell ref="A40:A41"/>
    <mergeCell ref="B40:B41"/>
    <mergeCell ref="C40:C41"/>
    <mergeCell ref="D40:D41"/>
    <mergeCell ref="E40:E41"/>
    <mergeCell ref="F40:F41"/>
    <mergeCell ref="G40:G41"/>
  </mergeCells>
  <phoneticPr fontId="2" type="noConversion"/>
  <pageMargins left="0" right="0" top="1" bottom="0.5" header="0.5" footer="0.5"/>
  <pageSetup orientation="portrait" r:id="rId1"/>
  <headerFooter alignWithMargins="0">
    <oddHeader>&amp;LPractical Exercise 2</oddHeader>
    <oddFooter>&amp;L&amp;9Rev. June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SKIPS RATE SETTING</vt:lpstr>
      <vt:lpstr>PRACTICAL EXERCISE 1</vt:lpstr>
      <vt:lpstr>PRACTICAL EXERCISE 2</vt:lpstr>
    </vt:vector>
  </TitlesOfParts>
  <Company>RCAC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Joshua Henry</cp:lastModifiedBy>
  <cp:lastPrinted>2011-06-21T16:49:06Z</cp:lastPrinted>
  <dcterms:created xsi:type="dcterms:W3CDTF">2002-12-15T00:19:59Z</dcterms:created>
  <dcterms:modified xsi:type="dcterms:W3CDTF">2014-12-30T23:47:20Z</dcterms:modified>
</cp:coreProperties>
</file>